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pivotTables/pivotTable3.xml" ContentType="application/vnd.openxmlformats-officedocument.spreadsheetml.pivotTable+xml"/>
  <Override PartName="/xl/tables/table2.xml" ContentType="application/vnd.openxmlformats-officedocument.spreadsheetml.table+xml"/>
  <Override PartName="/xl/pivotTables/pivotTable4.xml" ContentType="application/vnd.openxmlformats-officedocument.spreadsheetml.pivot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autoCompressPictures="0"/>
  <bookViews>
    <workbookView xWindow="480" yWindow="60" windowWidth="25120" windowHeight="16060"/>
  </bookViews>
  <sheets>
    <sheet name="Voorblad" sheetId="7" r:id="rId1"/>
    <sheet name="CelRef" sheetId="2" r:id="rId2"/>
    <sheet name="TablRef" sheetId="3" r:id="rId3"/>
    <sheet name="TablRefTot" sheetId="4" r:id="rId4"/>
    <sheet name="TablRefTot2" sheetId="5" r:id="rId5"/>
    <sheet name="TablRefPerc" sheetId="6" r:id="rId6"/>
  </sheets>
  <calcPr calcId="140001" concurrentCalc="0"/>
  <pivotCaches>
    <pivotCache cacheId="89" r:id="rId7"/>
    <pivotCache cacheId="90" r:id="rId8"/>
    <pivotCache cacheId="91" r:id="rId9"/>
    <pivotCache cacheId="92" r:id="rId10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1" i="5" l="1"/>
  <c r="J27" i="5"/>
  <c r="K21" i="4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3" i="2"/>
  <c r="D43" i="6"/>
  <c r="E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F3" i="6"/>
  <c r="G3" i="6"/>
  <c r="F4" i="6"/>
  <c r="G4" i="6"/>
  <c r="F5" i="6"/>
  <c r="G5" i="6"/>
  <c r="F6" i="6"/>
  <c r="G6" i="6"/>
  <c r="F7" i="6"/>
  <c r="G7" i="6"/>
  <c r="F8" i="6"/>
  <c r="G8" i="6"/>
  <c r="F9" i="6"/>
  <c r="G9" i="6"/>
  <c r="F10" i="6"/>
  <c r="G10" i="6"/>
  <c r="F11" i="6"/>
  <c r="G11" i="6"/>
  <c r="F12" i="6"/>
  <c r="G12" i="6"/>
  <c r="F13" i="6"/>
  <c r="G13" i="6"/>
  <c r="F14" i="6"/>
  <c r="G14" i="6"/>
  <c r="F15" i="6"/>
  <c r="G15" i="6"/>
  <c r="F16" i="6"/>
  <c r="G16" i="6"/>
  <c r="F17" i="6"/>
  <c r="G17" i="6"/>
  <c r="F18" i="6"/>
  <c r="G18" i="6"/>
  <c r="F19" i="6"/>
  <c r="G19" i="6"/>
  <c r="F20" i="6"/>
  <c r="G20" i="6"/>
  <c r="F21" i="6"/>
  <c r="G21" i="6"/>
  <c r="F22" i="6"/>
  <c r="G22" i="6"/>
  <c r="F23" i="6"/>
  <c r="G23" i="6"/>
  <c r="F24" i="6"/>
  <c r="G24" i="6"/>
  <c r="F25" i="6"/>
  <c r="G25" i="6"/>
  <c r="F26" i="6"/>
  <c r="G26" i="6"/>
  <c r="F27" i="6"/>
  <c r="G27" i="6"/>
  <c r="F28" i="6"/>
  <c r="G28" i="6"/>
  <c r="F29" i="6"/>
  <c r="G29" i="6"/>
  <c r="F30" i="6"/>
  <c r="G30" i="6"/>
  <c r="F31" i="6"/>
  <c r="G31" i="6"/>
  <c r="F32" i="6"/>
  <c r="G32" i="6"/>
  <c r="F33" i="6"/>
  <c r="G33" i="6"/>
  <c r="F34" i="6"/>
  <c r="G34" i="6"/>
  <c r="F35" i="6"/>
  <c r="G35" i="6"/>
  <c r="F36" i="6"/>
  <c r="G36" i="6"/>
  <c r="F37" i="6"/>
  <c r="G37" i="6"/>
  <c r="F38" i="6"/>
  <c r="G38" i="6"/>
  <c r="F39" i="6"/>
  <c r="G39" i="6"/>
  <c r="F40" i="6"/>
  <c r="G40" i="6"/>
  <c r="F41" i="6"/>
  <c r="G41" i="6"/>
  <c r="F42" i="6"/>
  <c r="G42" i="6"/>
  <c r="G43" i="6"/>
  <c r="K32" i="5"/>
  <c r="J32" i="5"/>
  <c r="K31" i="5"/>
  <c r="L31" i="5"/>
  <c r="L32" i="5"/>
  <c r="K27" i="5"/>
  <c r="J26" i="5"/>
  <c r="K26" i="5"/>
  <c r="L27" i="5"/>
  <c r="L26" i="5"/>
  <c r="L22" i="5"/>
  <c r="L21" i="5"/>
  <c r="K22" i="5"/>
  <c r="J22" i="5"/>
  <c r="K21" i="5"/>
  <c r="J21" i="5"/>
  <c r="D43" i="5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F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E32" i="4"/>
  <c r="F32" i="4"/>
  <c r="E33" i="4"/>
  <c r="F33" i="4"/>
  <c r="K34" i="4"/>
  <c r="J34" i="4"/>
  <c r="E3" i="4"/>
  <c r="F3" i="4"/>
  <c r="E4" i="4"/>
  <c r="F4" i="4"/>
  <c r="E5" i="4"/>
  <c r="F5" i="4"/>
  <c r="E6" i="4"/>
  <c r="F6" i="4"/>
  <c r="E7" i="4"/>
  <c r="F7" i="4"/>
  <c r="E8" i="4"/>
  <c r="F8" i="4"/>
  <c r="E9" i="4"/>
  <c r="F9" i="4"/>
  <c r="E10" i="4"/>
  <c r="F10" i="4"/>
  <c r="E11" i="4"/>
  <c r="F11" i="4"/>
  <c r="E12" i="4"/>
  <c r="F12" i="4"/>
  <c r="E13" i="4"/>
  <c r="F13" i="4"/>
  <c r="E14" i="4"/>
  <c r="F14" i="4"/>
  <c r="E15" i="4"/>
  <c r="F15" i="4"/>
  <c r="E16" i="4"/>
  <c r="F16" i="4"/>
  <c r="E17" i="4"/>
  <c r="F17" i="4"/>
  <c r="E18" i="4"/>
  <c r="F18" i="4"/>
  <c r="E19" i="4"/>
  <c r="F19" i="4"/>
  <c r="E20" i="4"/>
  <c r="F20" i="4"/>
  <c r="E21" i="4"/>
  <c r="F21" i="4"/>
  <c r="E22" i="4"/>
  <c r="F22" i="4"/>
  <c r="E23" i="4"/>
  <c r="F23" i="4"/>
  <c r="E24" i="4"/>
  <c r="F24" i="4"/>
  <c r="E25" i="4"/>
  <c r="F25" i="4"/>
  <c r="E26" i="4"/>
  <c r="F26" i="4"/>
  <c r="E27" i="4"/>
  <c r="F27" i="4"/>
  <c r="E28" i="4"/>
  <c r="F28" i="4"/>
  <c r="E29" i="4"/>
  <c r="F29" i="4"/>
  <c r="E30" i="4"/>
  <c r="F30" i="4"/>
  <c r="E31" i="4"/>
  <c r="F31" i="4"/>
  <c r="E34" i="4"/>
  <c r="F34" i="4"/>
  <c r="E35" i="4"/>
  <c r="F35" i="4"/>
  <c r="E36" i="4"/>
  <c r="F36" i="4"/>
  <c r="E37" i="4"/>
  <c r="F37" i="4"/>
  <c r="E38" i="4"/>
  <c r="F38" i="4"/>
  <c r="E39" i="4"/>
  <c r="F39" i="4"/>
  <c r="E40" i="4"/>
  <c r="F40" i="4"/>
  <c r="E41" i="4"/>
  <c r="F41" i="4"/>
  <c r="E42" i="4"/>
  <c r="F42" i="4"/>
  <c r="F43" i="4"/>
  <c r="L22" i="4"/>
  <c r="D43" i="4"/>
  <c r="L21" i="4"/>
  <c r="K22" i="4"/>
  <c r="J22" i="4"/>
  <c r="J21" i="4"/>
  <c r="I34" i="4"/>
  <c r="J35" i="4"/>
  <c r="K35" i="4"/>
  <c r="I35" i="4"/>
  <c r="E43" i="4"/>
  <c r="H44" i="4"/>
  <c r="H43" i="4"/>
</calcChain>
</file>

<file path=xl/sharedStrings.xml><?xml version="1.0" encoding="utf-8"?>
<sst xmlns="http://schemas.openxmlformats.org/spreadsheetml/2006/main" count="538" uniqueCount="29">
  <si>
    <t>Kwartaal</t>
  </si>
  <si>
    <t>Regio</t>
  </si>
  <si>
    <t>Bedrag</t>
  </si>
  <si>
    <t>Korting%</t>
  </si>
  <si>
    <t>Bedrag 
incl. korting</t>
  </si>
  <si>
    <t>Kw3</t>
  </si>
  <si>
    <t>Zuid</t>
  </si>
  <si>
    <t>Kw4</t>
  </si>
  <si>
    <t>Kw1</t>
  </si>
  <si>
    <t>Noord</t>
  </si>
  <si>
    <t>Kw2</t>
  </si>
  <si>
    <t>Eindtotaal</t>
  </si>
  <si>
    <t>Som van Bedrag</t>
  </si>
  <si>
    <t>Totaal Som van Bedrag</t>
  </si>
  <si>
    <t>Waarden</t>
  </si>
  <si>
    <t>Som van Bedrag incl. korting</t>
  </si>
  <si>
    <t>Totaal Som van Bedrag incl. korting</t>
  </si>
  <si>
    <t>Totaal</t>
  </si>
  <si>
    <t>Incl. korting</t>
  </si>
  <si>
    <t xml:space="preserve">met vulgreep:  </t>
  </si>
  <si>
    <t xml:space="preserve">met kopiëren:  </t>
  </si>
  <si>
    <t>Bedragen</t>
  </si>
  <si>
    <t>Kwartaal/Regio</t>
  </si>
  <si>
    <t>% 
van totaal</t>
  </si>
  <si>
    <t>Eindtotaal Som van Bedrag</t>
  </si>
  <si>
    <t>Eindtotaal Som van Bedrag incl. korting</t>
  </si>
  <si>
    <t>© 2018, G-Info/G. Verbruggen</t>
  </si>
  <si>
    <t>www.ginfo.nl</t>
  </si>
  <si>
    <t>Voorbeeld materiaal -  Tabel-verwijzingen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</si>
</sst>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0_ ;_ * \-#,##0.00_ ;_ * &quot;-&quot;??_ ;_ @_ "/>
    <numFmt numFmtId="165" formatCode="_ * #,##0.0_ ;_ * \-#,##0.0_ ;_ * &quot;-&quot;??_ ;_ @_ "/>
    <numFmt numFmtId="166" formatCode="#,##0.0"/>
    <numFmt numFmtId="167" formatCode="_ * #,##0_ ;_ * \-#,##0_ ;_ * &quot;-&quot;??_ ;_ @_ "/>
    <numFmt numFmtId="168" formatCode="0.0%"/>
  </numFmts>
  <fonts count="1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30"/>
      <color indexed="30"/>
      <name val="Arial"/>
      <family val="2"/>
    </font>
    <font>
      <b/>
      <sz val="18"/>
      <color indexed="8"/>
      <name val="Arial"/>
      <family val="2"/>
    </font>
    <font>
      <b/>
      <sz val="10"/>
      <name val="Verdana"/>
      <family val="2"/>
    </font>
    <font>
      <b/>
      <u/>
      <sz val="10"/>
      <color theme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auto="1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indexed="53"/>
      </left>
      <right/>
      <top style="thick">
        <color indexed="53"/>
      </top>
      <bottom/>
      <diagonal/>
    </border>
    <border>
      <left/>
      <right/>
      <top style="thick">
        <color indexed="53"/>
      </top>
      <bottom/>
      <diagonal/>
    </border>
    <border>
      <left/>
      <right style="thick">
        <color indexed="53"/>
      </right>
      <top style="thick">
        <color indexed="53"/>
      </top>
      <bottom/>
      <diagonal/>
    </border>
    <border>
      <left style="thick">
        <color indexed="53"/>
      </left>
      <right/>
      <top/>
      <bottom/>
      <diagonal/>
    </border>
    <border>
      <left/>
      <right style="thick">
        <color indexed="53"/>
      </right>
      <top/>
      <bottom/>
      <diagonal/>
    </border>
    <border>
      <left style="thick">
        <color indexed="53"/>
      </left>
      <right/>
      <top/>
      <bottom style="thick">
        <color indexed="53"/>
      </bottom>
      <diagonal/>
    </border>
    <border>
      <left/>
      <right/>
      <top/>
      <bottom style="thick">
        <color indexed="53"/>
      </bottom>
      <diagonal/>
    </border>
    <border>
      <left/>
      <right style="thick">
        <color indexed="53"/>
      </right>
      <top/>
      <bottom style="thick">
        <color indexed="53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</cellStyleXfs>
  <cellXfs count="54">
    <xf numFmtId="0" fontId="0" fillId="0" borderId="0" xfId="0"/>
    <xf numFmtId="9" fontId="0" fillId="0" borderId="0" xfId="2" applyFont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165" fontId="0" fillId="0" borderId="0" xfId="1" applyNumberFormat="1" applyFont="1"/>
    <xf numFmtId="0" fontId="0" fillId="0" borderId="0" xfId="0" pivotButton="1"/>
    <xf numFmtId="166" fontId="0" fillId="0" borderId="0" xfId="0" applyNumberFormat="1"/>
    <xf numFmtId="167" fontId="0" fillId="0" borderId="0" xfId="1" applyNumberFormat="1" applyFont="1"/>
    <xf numFmtId="167" fontId="0" fillId="0" borderId="0" xfId="0" applyNumberFormat="1"/>
    <xf numFmtId="0" fontId="0" fillId="0" borderId="0" xfId="0" applyNumberFormat="1" applyFont="1"/>
    <xf numFmtId="168" fontId="0" fillId="0" borderId="0" xfId="0" applyNumberFormat="1" applyFont="1"/>
    <xf numFmtId="165" fontId="0" fillId="0" borderId="0" xfId="0" applyNumberFormat="1" applyFont="1"/>
    <xf numFmtId="0" fontId="0" fillId="0" borderId="2" xfId="0" applyBorder="1"/>
    <xf numFmtId="0" fontId="0" fillId="0" borderId="3" xfId="0" applyBorder="1"/>
    <xf numFmtId="165" fontId="0" fillId="0" borderId="0" xfId="1" applyNumberFormat="1" applyFont="1" applyBorder="1"/>
    <xf numFmtId="165" fontId="0" fillId="0" borderId="4" xfId="1" applyNumberFormat="1" applyFont="1" applyBorder="1"/>
    <xf numFmtId="165" fontId="0" fillId="0" borderId="5" xfId="1" applyNumberFormat="1" applyFont="1" applyBorder="1"/>
    <xf numFmtId="165" fontId="0" fillId="0" borderId="6" xfId="1" applyNumberFormat="1" applyFont="1" applyBorder="1"/>
    <xf numFmtId="0" fontId="2" fillId="0" borderId="1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 applyAlignment="1">
      <alignment horizontal="right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167" fontId="0" fillId="0" borderId="0" xfId="1" applyNumberFormat="1" applyFont="1" applyAlignment="1"/>
    <xf numFmtId="168" fontId="0" fillId="0" borderId="0" xfId="2" applyNumberFormat="1" applyFont="1" applyAlignment="1"/>
    <xf numFmtId="9" fontId="0" fillId="0" borderId="0" xfId="2" applyFont="1" applyAlignment="1"/>
    <xf numFmtId="165" fontId="0" fillId="0" borderId="0" xfId="1" applyNumberFormat="1" applyFont="1" applyAlignment="1"/>
    <xf numFmtId="0" fontId="0" fillId="0" borderId="0" xfId="0" applyAlignment="1">
      <alignment horizontal="right" vertical="top"/>
    </xf>
    <xf numFmtId="0" fontId="0" fillId="0" borderId="0" xfId="0" applyAlignment="1">
      <alignment horizontal="right" vertical="top" wrapText="1"/>
    </xf>
    <xf numFmtId="0" fontId="5" fillId="2" borderId="0" xfId="7" applyFill="1"/>
    <xf numFmtId="0" fontId="5" fillId="2" borderId="0" xfId="7" applyFill="1" applyBorder="1"/>
    <xf numFmtId="0" fontId="5" fillId="0" borderId="0" xfId="7"/>
    <xf numFmtId="0" fontId="5" fillId="3" borderId="0" xfId="7" applyFill="1"/>
    <xf numFmtId="0" fontId="5" fillId="3" borderId="0" xfId="7" applyFill="1" applyBorder="1"/>
    <xf numFmtId="0" fontId="5" fillId="3" borderId="15" xfId="7" applyFill="1" applyBorder="1"/>
    <xf numFmtId="0" fontId="5" fillId="3" borderId="16" xfId="7" applyFill="1" applyBorder="1"/>
    <xf numFmtId="0" fontId="5" fillId="3" borderId="17" xfId="7" applyFill="1" applyBorder="1"/>
    <xf numFmtId="0" fontId="5" fillId="3" borderId="18" xfId="7" applyFill="1" applyBorder="1"/>
    <xf numFmtId="0" fontId="6" fillId="3" borderId="0" xfId="7" applyFont="1" applyFill="1" applyBorder="1"/>
    <xf numFmtId="0" fontId="5" fillId="3" borderId="19" xfId="7" applyFill="1" applyBorder="1"/>
    <xf numFmtId="0" fontId="7" fillId="3" borderId="0" xfId="7" applyFont="1" applyFill="1" applyBorder="1" applyAlignment="1">
      <alignment horizontal="right"/>
    </xf>
    <xf numFmtId="0" fontId="8" fillId="3" borderId="0" xfId="7" applyFont="1" applyFill="1" applyBorder="1" applyAlignment="1">
      <alignment horizontal="right"/>
    </xf>
    <xf numFmtId="0" fontId="9" fillId="3" borderId="0" xfId="7" applyFont="1" applyFill="1" applyBorder="1" applyAlignment="1">
      <alignment horizontal="right"/>
    </xf>
    <xf numFmtId="0" fontId="10" fillId="3" borderId="0" xfId="8" applyFill="1" applyBorder="1" applyAlignment="1" applyProtection="1">
      <alignment horizontal="right"/>
      <protection locked="0"/>
    </xf>
    <xf numFmtId="0" fontId="10" fillId="3" borderId="0" xfId="8" applyFill="1" applyAlignment="1" applyProtection="1">
      <alignment horizontal="right"/>
      <protection locked="0"/>
    </xf>
    <xf numFmtId="0" fontId="5" fillId="3" borderId="20" xfId="7" applyFill="1" applyBorder="1"/>
    <xf numFmtId="0" fontId="5" fillId="3" borderId="21" xfId="7" applyFill="1" applyBorder="1"/>
    <xf numFmtId="0" fontId="5" fillId="3" borderId="22" xfId="7" applyFill="1" applyBorder="1"/>
    <xf numFmtId="0" fontId="5" fillId="0" borderId="0" xfId="7" applyBorder="1"/>
  </cellXfs>
  <cellStyles count="9">
    <cellStyle name="Gevolgde hyperlink" xfId="4" builtinId="9" hidden="1"/>
    <cellStyle name="Gevolgde hyperlink" xfId="6" builtinId="9" hidden="1"/>
    <cellStyle name="Hyperlink" xfId="3" builtinId="8" hidden="1"/>
    <cellStyle name="Hyperlink" xfId="5" builtinId="8" hidden="1"/>
    <cellStyle name="Hyperlink" xfId="8" builtinId="8"/>
    <cellStyle name="Komma" xfId="1" builtinId="3"/>
    <cellStyle name="Normaal" xfId="0" builtinId="0"/>
    <cellStyle name="Normal 2" xfId="7"/>
    <cellStyle name="Procent" xfId="2" builtinId="5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_ * #,##0.0_ ;_ * \-#,##0.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_ * #,##0.0_ ;_ * \-#,##0.0_ ;_ * &quot;-&quot;??_ ;_ @_ 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3" formatCode="0%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8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8" formatCode="0.0%"/>
      <alignment horizontal="general" vertical="bottom" textRotation="0" wrapText="0" indent="0" justifyLastLine="0" shrinkToFit="0" readingOrder="0"/>
    </dxf>
    <dxf>
      <numFmt numFmtId="167" formatCode="_ * #,##0_ ;_ * \-#,##0_ ;_ * &quot;-&quot;??_ ;_ @_ "/>
    </dxf>
    <dxf>
      <numFmt numFmtId="167" formatCode="_ * #,##0_ ;_ * \-#,##0_ ;_ * &quot;-&quot;??_ ;_ @_ "/>
      <alignment horizontal="general" vertical="bottom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_ * #,##0.0_ ;_ * \-#,##0.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_ * #,##0.0_ ;_ * \-#,##0.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_ * #,##0.0_ ;_ * \-#,##0.0_ ;_ * &quot;-&quot;??_ ;_ @_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_ * #,##0.0_ ;_ * \-#,##0.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_ * #,##0.0_ ;_ * \-#,##0.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_ * #,##0.0_ ;_ * \-#,##0.0_ ;_ * &quot;-&quot;??_ ;_ @_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_ * #,##0.0_ ;_ * \-#,##0.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_ * #,##0.0_ ;_ * \-#,##0.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8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3" formatCode="0%"/>
    </dxf>
    <dxf>
      <numFmt numFmtId="167" formatCode="_ * #,##0_ ;_ * \-#,##0_ ;_ * &quot;-&quot;??_ ;_ @_ "/>
    </dxf>
    <dxf>
      <numFmt numFmtId="167" formatCode="_ * #,##0_ ;_ * \-#,##0_ ;_ * &quot;-&quot;??_ ;_ @_ "/>
    </dxf>
    <dxf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_ * #,##0.0_ ;_ * \-#,##0.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_ * #,##0.0_ ;_ * \-#,##0.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8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3" formatCode="0%"/>
    </dxf>
    <dxf>
      <numFmt numFmtId="167" formatCode="_ * #,##0_ ;_ * \-#,##0_ ;_ * &quot;-&quot;??_ ;_ @_ "/>
    </dxf>
    <dxf>
      <numFmt numFmtId="167" formatCode="_ * #,##0_ ;_ * \-#,##0_ ;_ * &quot;-&quot;??_ ;_ @_ "/>
    </dxf>
    <dxf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_ * #,##0.0_ ;_ * \-#,##0.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3" formatCode="0%"/>
    </dxf>
    <dxf>
      <numFmt numFmtId="167" formatCode="_ * #,##0_ ;_ * \-#,##0_ ;_ * &quot;-&quot;??_ ;_ @_ "/>
    </dxf>
    <dxf>
      <alignment horizontal="general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pivotCacheDefinition" Target="pivotCache/pivotCacheDefinition1.xml"/><Relationship Id="rId8" Type="http://schemas.openxmlformats.org/officeDocument/2006/relationships/pivotCacheDefinition" Target="pivotCache/pivotCacheDefinition2.xml"/><Relationship Id="rId9" Type="http://schemas.openxmlformats.org/officeDocument/2006/relationships/pivotCacheDefinition" Target="pivotCache/pivotCacheDefinition3.xml"/><Relationship Id="rId10" Type="http://schemas.openxmlformats.org/officeDocument/2006/relationships/pivotCacheDefinition" Target="pivotCache/pivotCacheDefinition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5</xdr:row>
      <xdr:rowOff>76201</xdr:rowOff>
    </xdr:from>
    <xdr:to>
      <xdr:col>8</xdr:col>
      <xdr:colOff>421566</xdr:colOff>
      <xdr:row>15</xdr:row>
      <xdr:rowOff>57151</xdr:rowOff>
    </xdr:to>
    <xdr:pic>
      <xdr:nvPicPr>
        <xdr:cNvPr id="2" name="Picture 2" descr="LOGO_G-INFO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5800" y="800101"/>
          <a:ext cx="2796466" cy="158115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ijs Verbruggen" refreshedDate="43392.466848263888" createdVersion="4" refreshedVersion="4" minRefreshableVersion="3" recordCount="40">
  <cacheSource type="worksheet">
    <worksheetSource ref="B2:F42" sheet="CelRef"/>
  </cacheSource>
  <cacheFields count="5">
    <cacheField name="Kwartaal" numFmtId="0">
      <sharedItems count="4">
        <s v="Kw3"/>
        <s v="Kw4"/>
        <s v="Kw1"/>
        <s v="Kw2"/>
      </sharedItems>
    </cacheField>
    <cacheField name="Regio" numFmtId="0">
      <sharedItems count="2">
        <s v="Zuid"/>
        <s v="Noord"/>
      </sharedItems>
    </cacheField>
    <cacheField name="Bedrag" numFmtId="0">
      <sharedItems containsSemiMixedTypes="0" containsString="0" containsNumber="1" containsInteger="1" minValue="75" maxValue="125"/>
    </cacheField>
    <cacheField name="Korting%" numFmtId="9">
      <sharedItems containsSemiMixedTypes="0" containsString="0" containsNumber="1" minValue="0" maxValue="0.1"/>
    </cacheField>
    <cacheField name="Bedrag _x000a_incl. korting" numFmtId="165">
      <sharedItems containsSemiMixedTypes="0" containsString="0" containsNumber="1" minValue="75" maxValue="112.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Gijs Verbruggen" refreshedDate="43392.523807523146" createdVersion="4" refreshedVersion="4" minRefreshableVersion="3" recordCount="40">
  <cacheSource type="worksheet">
    <worksheetSource name="tblKwReg2b"/>
  </cacheSource>
  <cacheFields count="5">
    <cacheField name="Kwartaal" numFmtId="0">
      <sharedItems count="4">
        <s v="Kw3"/>
        <s v="Kw4"/>
        <s v="Kw1"/>
        <s v="Kw2"/>
      </sharedItems>
    </cacheField>
    <cacheField name="Regio" numFmtId="0">
      <sharedItems count="2">
        <s v="Zuid"/>
        <s v="Noord"/>
      </sharedItems>
    </cacheField>
    <cacheField name="Bedrag" numFmtId="167">
      <sharedItems containsSemiMixedTypes="0" containsString="0" containsNumber="1" containsInteger="1" minValue="75" maxValue="125"/>
    </cacheField>
    <cacheField name="Korting%" numFmtId="9">
      <sharedItems containsSemiMixedTypes="0" containsString="0" containsNumber="1" minValue="0" maxValue="0.1"/>
    </cacheField>
    <cacheField name="Bedrag _x000a_incl. korting" numFmtId="165">
      <sharedItems containsSemiMixedTypes="0" containsString="0" containsNumber="1" minValue="75" maxValue="112.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Gijs Verbruggen" refreshedDate="43392.656601041665" createdVersion="4" refreshedVersion="4" minRefreshableVersion="3" recordCount="40">
  <cacheSource type="worksheet">
    <worksheetSource name="tblKwReg2"/>
  </cacheSource>
  <cacheFields count="5">
    <cacheField name="Kwartaal" numFmtId="0">
      <sharedItems count="4">
        <s v="Kw3"/>
        <s v="Kw4"/>
        <s v="Kw1"/>
        <s v="Kw2"/>
      </sharedItems>
    </cacheField>
    <cacheField name="Regio" numFmtId="0">
      <sharedItems count="2">
        <s v="Zuid"/>
        <s v="Noord"/>
      </sharedItems>
    </cacheField>
    <cacheField name="Bedrag" numFmtId="167">
      <sharedItems containsSemiMixedTypes="0" containsString="0" containsNumber="1" containsInteger="1" minValue="75" maxValue="125"/>
    </cacheField>
    <cacheField name="Korting%" numFmtId="9">
      <sharedItems containsSemiMixedTypes="0" containsString="0" containsNumber="1" minValue="0" maxValue="0.1"/>
    </cacheField>
    <cacheField name="Bedrag _x000d_incl. korting" numFmtId="165">
      <sharedItems containsSemiMixedTypes="0" containsString="0" containsNumber="1" minValue="75" maxValue="112.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Gijs Verbruggen" refreshedDate="43392.657126620368" createdVersion="4" refreshedVersion="4" minRefreshableVersion="3" recordCount="40">
  <cacheSource type="worksheet">
    <worksheetSource name="tblKwRegio"/>
  </cacheSource>
  <cacheFields count="5">
    <cacheField name="Kwartaal" numFmtId="0">
      <sharedItems count="4">
        <s v="Kw3"/>
        <s v="Kw4"/>
        <s v="Kw1"/>
        <s v="Kw2"/>
      </sharedItems>
    </cacheField>
    <cacheField name="Regio" numFmtId="0">
      <sharedItems count="2">
        <s v="Zuid"/>
        <s v="Noord"/>
      </sharedItems>
    </cacheField>
    <cacheField name="Bedrag" numFmtId="167">
      <sharedItems containsSemiMixedTypes="0" containsString="0" containsNumber="1" containsInteger="1" minValue="75" maxValue="125"/>
    </cacheField>
    <cacheField name="Korting%" numFmtId="9">
      <sharedItems containsSemiMixedTypes="0" containsString="0" containsNumber="1" minValue="0" maxValue="0.1"/>
    </cacheField>
    <cacheField name="Bedrag _x000d_incl. korting" numFmtId="165">
      <sharedItems containsSemiMixedTypes="0" containsString="0" containsNumber="1" minValue="75" maxValue="112.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0">
  <r>
    <x v="0"/>
    <x v="0"/>
    <n v="106"/>
    <n v="0.1"/>
    <n v="95.4"/>
  </r>
  <r>
    <x v="1"/>
    <x v="0"/>
    <n v="122"/>
    <n v="0.1"/>
    <n v="109.8"/>
  </r>
  <r>
    <x v="2"/>
    <x v="0"/>
    <n v="118"/>
    <n v="0.1"/>
    <n v="106.2"/>
  </r>
  <r>
    <x v="1"/>
    <x v="1"/>
    <n v="102"/>
    <n v="0.1"/>
    <n v="91.8"/>
  </r>
  <r>
    <x v="0"/>
    <x v="1"/>
    <n v="112"/>
    <n v="0.1"/>
    <n v="100.8"/>
  </r>
  <r>
    <x v="0"/>
    <x v="1"/>
    <n v="104"/>
    <n v="0.1"/>
    <n v="93.600000000000009"/>
  </r>
  <r>
    <x v="3"/>
    <x v="1"/>
    <n v="100"/>
    <n v="0"/>
    <n v="100"/>
  </r>
  <r>
    <x v="3"/>
    <x v="0"/>
    <n v="125"/>
    <n v="0.1"/>
    <n v="112.5"/>
  </r>
  <r>
    <x v="0"/>
    <x v="0"/>
    <n v="93"/>
    <n v="0"/>
    <n v="93"/>
  </r>
  <r>
    <x v="0"/>
    <x v="1"/>
    <n v="118"/>
    <n v="0.1"/>
    <n v="106.2"/>
  </r>
  <r>
    <x v="3"/>
    <x v="0"/>
    <n v="105"/>
    <n v="0.1"/>
    <n v="94.5"/>
  </r>
  <r>
    <x v="2"/>
    <x v="0"/>
    <n v="121"/>
    <n v="0.1"/>
    <n v="108.9"/>
  </r>
  <r>
    <x v="1"/>
    <x v="0"/>
    <n v="91"/>
    <n v="0"/>
    <n v="91"/>
  </r>
  <r>
    <x v="3"/>
    <x v="1"/>
    <n v="121"/>
    <n v="0.1"/>
    <n v="108.9"/>
  </r>
  <r>
    <x v="2"/>
    <x v="1"/>
    <n v="89"/>
    <n v="0"/>
    <n v="89"/>
  </r>
  <r>
    <x v="2"/>
    <x v="0"/>
    <n v="112"/>
    <n v="0.1"/>
    <n v="100.8"/>
  </r>
  <r>
    <x v="0"/>
    <x v="0"/>
    <n v="92"/>
    <n v="0"/>
    <n v="92"/>
  </r>
  <r>
    <x v="2"/>
    <x v="0"/>
    <n v="95"/>
    <n v="0"/>
    <n v="95"/>
  </r>
  <r>
    <x v="3"/>
    <x v="0"/>
    <n v="93"/>
    <n v="0"/>
    <n v="93"/>
  </r>
  <r>
    <x v="0"/>
    <x v="0"/>
    <n v="79"/>
    <n v="0"/>
    <n v="79"/>
  </r>
  <r>
    <x v="2"/>
    <x v="1"/>
    <n v="111"/>
    <n v="0.1"/>
    <n v="99.9"/>
  </r>
  <r>
    <x v="3"/>
    <x v="1"/>
    <n v="92"/>
    <n v="0"/>
    <n v="92"/>
  </r>
  <r>
    <x v="0"/>
    <x v="0"/>
    <n v="83"/>
    <n v="0"/>
    <n v="83"/>
  </r>
  <r>
    <x v="3"/>
    <x v="0"/>
    <n v="102"/>
    <n v="0.1"/>
    <n v="91.8"/>
  </r>
  <r>
    <x v="2"/>
    <x v="1"/>
    <n v="83"/>
    <n v="0"/>
    <n v="83"/>
  </r>
  <r>
    <x v="2"/>
    <x v="1"/>
    <n v="109"/>
    <n v="0.1"/>
    <n v="98.100000000000009"/>
  </r>
  <r>
    <x v="3"/>
    <x v="1"/>
    <n v="84"/>
    <n v="0"/>
    <n v="84"/>
  </r>
  <r>
    <x v="3"/>
    <x v="1"/>
    <n v="104"/>
    <n v="0.1"/>
    <n v="93.600000000000009"/>
  </r>
  <r>
    <x v="3"/>
    <x v="0"/>
    <n v="110"/>
    <n v="0.1"/>
    <n v="99"/>
  </r>
  <r>
    <x v="0"/>
    <x v="1"/>
    <n v="124"/>
    <n v="0.1"/>
    <n v="111.60000000000001"/>
  </r>
  <r>
    <x v="2"/>
    <x v="1"/>
    <n v="125"/>
    <n v="0.1"/>
    <n v="112.5"/>
  </r>
  <r>
    <x v="0"/>
    <x v="1"/>
    <n v="76"/>
    <n v="0"/>
    <n v="76"/>
  </r>
  <r>
    <x v="3"/>
    <x v="1"/>
    <n v="104"/>
    <n v="0.1"/>
    <n v="93.600000000000009"/>
  </r>
  <r>
    <x v="3"/>
    <x v="0"/>
    <n v="103"/>
    <n v="0.1"/>
    <n v="92.7"/>
  </r>
  <r>
    <x v="2"/>
    <x v="1"/>
    <n v="79"/>
    <n v="0"/>
    <n v="79"/>
  </r>
  <r>
    <x v="1"/>
    <x v="1"/>
    <n v="75"/>
    <n v="0"/>
    <n v="75"/>
  </r>
  <r>
    <x v="0"/>
    <x v="0"/>
    <n v="117"/>
    <n v="0.1"/>
    <n v="105.3"/>
  </r>
  <r>
    <x v="1"/>
    <x v="1"/>
    <n v="106"/>
    <n v="0.1"/>
    <n v="95.4"/>
  </r>
  <r>
    <x v="2"/>
    <x v="1"/>
    <n v="81"/>
    <n v="0"/>
    <n v="81"/>
  </r>
  <r>
    <x v="0"/>
    <x v="0"/>
    <n v="82"/>
    <n v="0"/>
    <n v="8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0">
  <r>
    <x v="0"/>
    <x v="0"/>
    <n v="106"/>
    <n v="0.1"/>
    <n v="95.4"/>
  </r>
  <r>
    <x v="1"/>
    <x v="0"/>
    <n v="122"/>
    <n v="0.1"/>
    <n v="109.8"/>
  </r>
  <r>
    <x v="2"/>
    <x v="0"/>
    <n v="118"/>
    <n v="0.1"/>
    <n v="106.2"/>
  </r>
  <r>
    <x v="1"/>
    <x v="1"/>
    <n v="102"/>
    <n v="0.1"/>
    <n v="91.8"/>
  </r>
  <r>
    <x v="0"/>
    <x v="1"/>
    <n v="112"/>
    <n v="0.1"/>
    <n v="100.8"/>
  </r>
  <r>
    <x v="0"/>
    <x v="1"/>
    <n v="104"/>
    <n v="0.1"/>
    <n v="93.600000000000009"/>
  </r>
  <r>
    <x v="3"/>
    <x v="1"/>
    <n v="100"/>
    <n v="0"/>
    <n v="100"/>
  </r>
  <r>
    <x v="3"/>
    <x v="0"/>
    <n v="125"/>
    <n v="0.1"/>
    <n v="112.5"/>
  </r>
  <r>
    <x v="0"/>
    <x v="0"/>
    <n v="93"/>
    <n v="0"/>
    <n v="93"/>
  </r>
  <r>
    <x v="0"/>
    <x v="1"/>
    <n v="118"/>
    <n v="0.1"/>
    <n v="106.2"/>
  </r>
  <r>
    <x v="3"/>
    <x v="0"/>
    <n v="105"/>
    <n v="0.1"/>
    <n v="94.5"/>
  </r>
  <r>
    <x v="2"/>
    <x v="0"/>
    <n v="121"/>
    <n v="0.1"/>
    <n v="108.9"/>
  </r>
  <r>
    <x v="1"/>
    <x v="0"/>
    <n v="91"/>
    <n v="0"/>
    <n v="91"/>
  </r>
  <r>
    <x v="3"/>
    <x v="1"/>
    <n v="121"/>
    <n v="0.1"/>
    <n v="108.9"/>
  </r>
  <r>
    <x v="2"/>
    <x v="1"/>
    <n v="89"/>
    <n v="0"/>
    <n v="89"/>
  </r>
  <r>
    <x v="2"/>
    <x v="0"/>
    <n v="112"/>
    <n v="0.1"/>
    <n v="100.8"/>
  </r>
  <r>
    <x v="0"/>
    <x v="0"/>
    <n v="92"/>
    <n v="0"/>
    <n v="92"/>
  </r>
  <r>
    <x v="2"/>
    <x v="0"/>
    <n v="95"/>
    <n v="0"/>
    <n v="95"/>
  </r>
  <r>
    <x v="3"/>
    <x v="0"/>
    <n v="93"/>
    <n v="0"/>
    <n v="93"/>
  </r>
  <r>
    <x v="0"/>
    <x v="0"/>
    <n v="79"/>
    <n v="0"/>
    <n v="79"/>
  </r>
  <r>
    <x v="2"/>
    <x v="1"/>
    <n v="111"/>
    <n v="0.1"/>
    <n v="99.9"/>
  </r>
  <r>
    <x v="3"/>
    <x v="1"/>
    <n v="92"/>
    <n v="0"/>
    <n v="92"/>
  </r>
  <r>
    <x v="0"/>
    <x v="0"/>
    <n v="83"/>
    <n v="0"/>
    <n v="83"/>
  </r>
  <r>
    <x v="3"/>
    <x v="0"/>
    <n v="102"/>
    <n v="0.1"/>
    <n v="91.8"/>
  </r>
  <r>
    <x v="2"/>
    <x v="1"/>
    <n v="83"/>
    <n v="0"/>
    <n v="83"/>
  </r>
  <r>
    <x v="2"/>
    <x v="1"/>
    <n v="109"/>
    <n v="0.1"/>
    <n v="98.100000000000009"/>
  </r>
  <r>
    <x v="3"/>
    <x v="1"/>
    <n v="84"/>
    <n v="0"/>
    <n v="84"/>
  </r>
  <r>
    <x v="3"/>
    <x v="1"/>
    <n v="104"/>
    <n v="0.1"/>
    <n v="93.600000000000009"/>
  </r>
  <r>
    <x v="3"/>
    <x v="0"/>
    <n v="110"/>
    <n v="0.1"/>
    <n v="99"/>
  </r>
  <r>
    <x v="0"/>
    <x v="1"/>
    <n v="124"/>
    <n v="0.1"/>
    <n v="111.60000000000001"/>
  </r>
  <r>
    <x v="2"/>
    <x v="1"/>
    <n v="125"/>
    <n v="0.1"/>
    <n v="112.5"/>
  </r>
  <r>
    <x v="0"/>
    <x v="1"/>
    <n v="76"/>
    <n v="0"/>
    <n v="76"/>
  </r>
  <r>
    <x v="3"/>
    <x v="1"/>
    <n v="104"/>
    <n v="0.1"/>
    <n v="93.600000000000009"/>
  </r>
  <r>
    <x v="3"/>
    <x v="0"/>
    <n v="103"/>
    <n v="0.1"/>
    <n v="92.7"/>
  </r>
  <r>
    <x v="2"/>
    <x v="1"/>
    <n v="79"/>
    <n v="0"/>
    <n v="79"/>
  </r>
  <r>
    <x v="1"/>
    <x v="1"/>
    <n v="75"/>
    <n v="0"/>
    <n v="75"/>
  </r>
  <r>
    <x v="0"/>
    <x v="0"/>
    <n v="117"/>
    <n v="0.1"/>
    <n v="105.3"/>
  </r>
  <r>
    <x v="1"/>
    <x v="1"/>
    <n v="106"/>
    <n v="0.1"/>
    <n v="95.4"/>
  </r>
  <r>
    <x v="2"/>
    <x v="1"/>
    <n v="81"/>
    <n v="0"/>
    <n v="81"/>
  </r>
  <r>
    <x v="0"/>
    <x v="0"/>
    <n v="82"/>
    <n v="0"/>
    <n v="82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40">
  <r>
    <x v="0"/>
    <x v="0"/>
    <n v="106"/>
    <n v="0.1"/>
    <n v="95.4"/>
  </r>
  <r>
    <x v="1"/>
    <x v="0"/>
    <n v="122"/>
    <n v="0.1"/>
    <n v="109.8"/>
  </r>
  <r>
    <x v="2"/>
    <x v="0"/>
    <n v="118"/>
    <n v="0.1"/>
    <n v="106.2"/>
  </r>
  <r>
    <x v="1"/>
    <x v="1"/>
    <n v="102"/>
    <n v="0.1"/>
    <n v="91.8"/>
  </r>
  <r>
    <x v="0"/>
    <x v="1"/>
    <n v="112"/>
    <n v="0.1"/>
    <n v="100.8"/>
  </r>
  <r>
    <x v="0"/>
    <x v="1"/>
    <n v="104"/>
    <n v="0.1"/>
    <n v="93.600000000000009"/>
  </r>
  <r>
    <x v="3"/>
    <x v="1"/>
    <n v="100"/>
    <n v="0"/>
    <n v="100"/>
  </r>
  <r>
    <x v="3"/>
    <x v="0"/>
    <n v="125"/>
    <n v="0.1"/>
    <n v="112.5"/>
  </r>
  <r>
    <x v="0"/>
    <x v="0"/>
    <n v="93"/>
    <n v="0"/>
    <n v="93"/>
  </r>
  <r>
    <x v="0"/>
    <x v="1"/>
    <n v="118"/>
    <n v="0.1"/>
    <n v="106.2"/>
  </r>
  <r>
    <x v="3"/>
    <x v="0"/>
    <n v="105"/>
    <n v="0.1"/>
    <n v="94.5"/>
  </r>
  <r>
    <x v="2"/>
    <x v="0"/>
    <n v="121"/>
    <n v="0.1"/>
    <n v="108.9"/>
  </r>
  <r>
    <x v="1"/>
    <x v="0"/>
    <n v="91"/>
    <n v="0"/>
    <n v="91"/>
  </r>
  <r>
    <x v="3"/>
    <x v="1"/>
    <n v="121"/>
    <n v="0.1"/>
    <n v="108.9"/>
  </r>
  <r>
    <x v="2"/>
    <x v="1"/>
    <n v="89"/>
    <n v="0"/>
    <n v="89"/>
  </r>
  <r>
    <x v="2"/>
    <x v="0"/>
    <n v="112"/>
    <n v="0.1"/>
    <n v="100.8"/>
  </r>
  <r>
    <x v="0"/>
    <x v="0"/>
    <n v="92"/>
    <n v="0"/>
    <n v="92"/>
  </r>
  <r>
    <x v="2"/>
    <x v="0"/>
    <n v="95"/>
    <n v="0"/>
    <n v="95"/>
  </r>
  <r>
    <x v="3"/>
    <x v="0"/>
    <n v="93"/>
    <n v="0"/>
    <n v="93"/>
  </r>
  <r>
    <x v="0"/>
    <x v="0"/>
    <n v="79"/>
    <n v="0"/>
    <n v="79"/>
  </r>
  <r>
    <x v="2"/>
    <x v="1"/>
    <n v="111"/>
    <n v="0.1"/>
    <n v="99.9"/>
  </r>
  <r>
    <x v="3"/>
    <x v="1"/>
    <n v="92"/>
    <n v="0"/>
    <n v="92"/>
  </r>
  <r>
    <x v="0"/>
    <x v="0"/>
    <n v="83"/>
    <n v="0"/>
    <n v="83"/>
  </r>
  <r>
    <x v="3"/>
    <x v="0"/>
    <n v="102"/>
    <n v="0.1"/>
    <n v="91.8"/>
  </r>
  <r>
    <x v="2"/>
    <x v="1"/>
    <n v="83"/>
    <n v="0"/>
    <n v="83"/>
  </r>
  <r>
    <x v="2"/>
    <x v="1"/>
    <n v="109"/>
    <n v="0.1"/>
    <n v="98.100000000000009"/>
  </r>
  <r>
    <x v="3"/>
    <x v="1"/>
    <n v="84"/>
    <n v="0"/>
    <n v="84"/>
  </r>
  <r>
    <x v="3"/>
    <x v="1"/>
    <n v="104"/>
    <n v="0.1"/>
    <n v="93.600000000000009"/>
  </r>
  <r>
    <x v="3"/>
    <x v="0"/>
    <n v="110"/>
    <n v="0.1"/>
    <n v="99"/>
  </r>
  <r>
    <x v="0"/>
    <x v="1"/>
    <n v="124"/>
    <n v="0.1"/>
    <n v="111.60000000000001"/>
  </r>
  <r>
    <x v="2"/>
    <x v="1"/>
    <n v="125"/>
    <n v="0.1"/>
    <n v="112.5"/>
  </r>
  <r>
    <x v="0"/>
    <x v="1"/>
    <n v="76"/>
    <n v="0"/>
    <n v="76"/>
  </r>
  <r>
    <x v="3"/>
    <x v="1"/>
    <n v="104"/>
    <n v="0.1"/>
    <n v="93.600000000000009"/>
  </r>
  <r>
    <x v="3"/>
    <x v="0"/>
    <n v="103"/>
    <n v="0.1"/>
    <n v="92.7"/>
  </r>
  <r>
    <x v="2"/>
    <x v="1"/>
    <n v="79"/>
    <n v="0"/>
    <n v="79"/>
  </r>
  <r>
    <x v="1"/>
    <x v="1"/>
    <n v="75"/>
    <n v="0"/>
    <n v="75"/>
  </r>
  <r>
    <x v="0"/>
    <x v="0"/>
    <n v="117"/>
    <n v="0.1"/>
    <n v="105.3"/>
  </r>
  <r>
    <x v="1"/>
    <x v="1"/>
    <n v="106"/>
    <n v="0.1"/>
    <n v="95.4"/>
  </r>
  <r>
    <x v="2"/>
    <x v="1"/>
    <n v="81"/>
    <n v="0"/>
    <n v="81"/>
  </r>
  <r>
    <x v="0"/>
    <x v="0"/>
    <n v="82"/>
    <n v="0"/>
    <n v="82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40">
  <r>
    <x v="0"/>
    <x v="0"/>
    <n v="106"/>
    <n v="0.1"/>
    <n v="95.4"/>
  </r>
  <r>
    <x v="1"/>
    <x v="0"/>
    <n v="122"/>
    <n v="0.1"/>
    <n v="109.8"/>
  </r>
  <r>
    <x v="2"/>
    <x v="0"/>
    <n v="118"/>
    <n v="0.1"/>
    <n v="106.2"/>
  </r>
  <r>
    <x v="1"/>
    <x v="1"/>
    <n v="102"/>
    <n v="0.1"/>
    <n v="91.8"/>
  </r>
  <r>
    <x v="0"/>
    <x v="1"/>
    <n v="112"/>
    <n v="0.1"/>
    <n v="100.8"/>
  </r>
  <r>
    <x v="0"/>
    <x v="1"/>
    <n v="104"/>
    <n v="0.1"/>
    <n v="93.600000000000009"/>
  </r>
  <r>
    <x v="3"/>
    <x v="1"/>
    <n v="100"/>
    <n v="0"/>
    <n v="100"/>
  </r>
  <r>
    <x v="3"/>
    <x v="0"/>
    <n v="125"/>
    <n v="0.1"/>
    <n v="112.5"/>
  </r>
  <r>
    <x v="0"/>
    <x v="0"/>
    <n v="93"/>
    <n v="0"/>
    <n v="93"/>
  </r>
  <r>
    <x v="0"/>
    <x v="1"/>
    <n v="118"/>
    <n v="0.1"/>
    <n v="106.2"/>
  </r>
  <r>
    <x v="3"/>
    <x v="0"/>
    <n v="105"/>
    <n v="0.1"/>
    <n v="94.5"/>
  </r>
  <r>
    <x v="2"/>
    <x v="0"/>
    <n v="121"/>
    <n v="0.1"/>
    <n v="108.9"/>
  </r>
  <r>
    <x v="1"/>
    <x v="0"/>
    <n v="91"/>
    <n v="0"/>
    <n v="91"/>
  </r>
  <r>
    <x v="3"/>
    <x v="1"/>
    <n v="121"/>
    <n v="0.1"/>
    <n v="108.9"/>
  </r>
  <r>
    <x v="2"/>
    <x v="1"/>
    <n v="89"/>
    <n v="0"/>
    <n v="89"/>
  </r>
  <r>
    <x v="2"/>
    <x v="0"/>
    <n v="112"/>
    <n v="0.1"/>
    <n v="100.8"/>
  </r>
  <r>
    <x v="0"/>
    <x v="0"/>
    <n v="92"/>
    <n v="0"/>
    <n v="92"/>
  </r>
  <r>
    <x v="2"/>
    <x v="0"/>
    <n v="95"/>
    <n v="0"/>
    <n v="95"/>
  </r>
  <r>
    <x v="3"/>
    <x v="0"/>
    <n v="93"/>
    <n v="0"/>
    <n v="93"/>
  </r>
  <r>
    <x v="0"/>
    <x v="0"/>
    <n v="79"/>
    <n v="0"/>
    <n v="79"/>
  </r>
  <r>
    <x v="2"/>
    <x v="1"/>
    <n v="111"/>
    <n v="0.1"/>
    <n v="99.9"/>
  </r>
  <r>
    <x v="3"/>
    <x v="1"/>
    <n v="92"/>
    <n v="0"/>
    <n v="92"/>
  </r>
  <r>
    <x v="0"/>
    <x v="0"/>
    <n v="83"/>
    <n v="0"/>
    <n v="83"/>
  </r>
  <r>
    <x v="3"/>
    <x v="0"/>
    <n v="102"/>
    <n v="0.1"/>
    <n v="91.8"/>
  </r>
  <r>
    <x v="2"/>
    <x v="1"/>
    <n v="83"/>
    <n v="0"/>
    <n v="83"/>
  </r>
  <r>
    <x v="2"/>
    <x v="1"/>
    <n v="109"/>
    <n v="0.1"/>
    <n v="98.100000000000009"/>
  </r>
  <r>
    <x v="3"/>
    <x v="1"/>
    <n v="84"/>
    <n v="0"/>
    <n v="84"/>
  </r>
  <r>
    <x v="3"/>
    <x v="1"/>
    <n v="104"/>
    <n v="0.1"/>
    <n v="93.600000000000009"/>
  </r>
  <r>
    <x v="3"/>
    <x v="0"/>
    <n v="110"/>
    <n v="0.1"/>
    <n v="99"/>
  </r>
  <r>
    <x v="0"/>
    <x v="1"/>
    <n v="124"/>
    <n v="0.1"/>
    <n v="111.60000000000001"/>
  </r>
  <r>
    <x v="2"/>
    <x v="1"/>
    <n v="125"/>
    <n v="0.1"/>
    <n v="112.5"/>
  </r>
  <r>
    <x v="0"/>
    <x v="1"/>
    <n v="76"/>
    <n v="0"/>
    <n v="76"/>
  </r>
  <r>
    <x v="3"/>
    <x v="1"/>
    <n v="104"/>
    <n v="0.1"/>
    <n v="93.600000000000009"/>
  </r>
  <r>
    <x v="3"/>
    <x v="0"/>
    <n v="103"/>
    <n v="0.1"/>
    <n v="92.7"/>
  </r>
  <r>
    <x v="2"/>
    <x v="1"/>
    <n v="79"/>
    <n v="0"/>
    <n v="79"/>
  </r>
  <r>
    <x v="1"/>
    <x v="1"/>
    <n v="75"/>
    <n v="0"/>
    <n v="75"/>
  </r>
  <r>
    <x v="0"/>
    <x v="0"/>
    <n v="117"/>
    <n v="0.1"/>
    <n v="105.3"/>
  </r>
  <r>
    <x v="1"/>
    <x v="1"/>
    <n v="106"/>
    <n v="0.1"/>
    <n v="95.4"/>
  </r>
  <r>
    <x v="2"/>
    <x v="1"/>
    <n v="81"/>
    <n v="0"/>
    <n v="81"/>
  </r>
  <r>
    <x v="0"/>
    <x v="0"/>
    <n v="82"/>
    <n v="0"/>
    <n v="8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Draaitabel1" cacheId="89" dataOnRows="1" applyNumberFormats="0" applyBorderFormats="0" applyFontFormats="0" applyPatternFormats="0" applyAlignmentFormats="0" applyWidthHeightFormats="1" dataCaption="Waarden" updatedVersion="4" minRefreshableVersion="3" useAutoFormatting="1" itemPrintTitles="1" createdVersion="4" indent="0" compact="0" compactData="0" multipleFieldFilters="0">
  <location ref="H4:L15" firstHeaderRow="1" firstDataRow="2" firstDataCol="2"/>
  <pivotFields count="5">
    <pivotField axis="axisRow" compact="0" outline="0" showAll="0" defaultSubtotal="0">
      <items count="4">
        <item x="2"/>
        <item x="3"/>
        <item x="0"/>
        <item x="1"/>
      </items>
    </pivotField>
    <pivotField axis="axisCol" compact="0" outline="0" showAll="0">
      <items count="3">
        <item x="1"/>
        <item x="0"/>
        <item t="default"/>
      </items>
    </pivotField>
    <pivotField dataField="1" compact="0" outline="0" showAll="0"/>
    <pivotField compact="0" numFmtId="9" outline="0" showAll="0"/>
    <pivotField dataField="1" compact="0" numFmtId="165" outline="0" showAll="0"/>
  </pivotFields>
  <rowFields count="2">
    <field x="0"/>
    <field x="-2"/>
  </rowFields>
  <rowItems count="10">
    <i>
      <x/>
      <x/>
    </i>
    <i r="1" i="1">
      <x v="1"/>
    </i>
    <i>
      <x v="1"/>
      <x/>
    </i>
    <i r="1" i="1">
      <x v="1"/>
    </i>
    <i>
      <x v="2"/>
      <x/>
    </i>
    <i r="1" i="1">
      <x v="1"/>
    </i>
    <i>
      <x v="3"/>
      <x/>
    </i>
    <i r="1" i="1">
      <x v="1"/>
    </i>
    <i t="grand">
      <x/>
    </i>
    <i t="grand" i="1">
      <x/>
    </i>
  </rowItems>
  <colFields count="1">
    <field x="1"/>
  </colFields>
  <colItems count="3">
    <i>
      <x/>
    </i>
    <i>
      <x v="1"/>
    </i>
    <i t="grand">
      <x/>
    </i>
  </colItems>
  <dataFields count="2">
    <dataField name="Som van Bedrag" fld="2" baseField="0" baseItem="0" numFmtId="166"/>
    <dataField name="Som van Bedrag incl. korting" fld="4" baseField="0" baseItem="0" numFmtId="16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Draaitabel2" cacheId="92" dataOnRows="1" applyNumberFormats="0" applyBorderFormats="0" applyFontFormats="0" applyPatternFormats="0" applyAlignmentFormats="0" applyWidthHeightFormats="1" dataCaption="Waarden" updatedVersion="4" minRefreshableVersion="3" useAutoFormatting="1" itemPrintTitles="1" createdVersion="4" indent="0" compact="0" compactData="0" multipleFieldFilters="0">
  <location ref="H4:L15" firstHeaderRow="1" firstDataRow="2" firstDataCol="2"/>
  <pivotFields count="5">
    <pivotField axis="axisRow" compact="0" outline="0" showAll="0">
      <items count="5">
        <item x="2"/>
        <item x="3"/>
        <item x="0"/>
        <item x="1"/>
        <item t="default"/>
      </items>
    </pivotField>
    <pivotField axis="axisCol" compact="0" outline="0" showAll="0">
      <items count="3">
        <item x="1"/>
        <item x="0"/>
        <item t="default"/>
      </items>
    </pivotField>
    <pivotField dataField="1" compact="0" outline="0" showAll="0"/>
    <pivotField compact="0" numFmtId="9" outline="0" showAll="0"/>
    <pivotField dataField="1" compact="0" numFmtId="165" outline="0" showAll="0" defaultSubtotal="0"/>
  </pivotFields>
  <rowFields count="2">
    <field x="0"/>
    <field x="-2"/>
  </rowFields>
  <rowItems count="10">
    <i>
      <x/>
      <x/>
    </i>
    <i r="1" i="1">
      <x v="1"/>
    </i>
    <i>
      <x v="1"/>
      <x/>
    </i>
    <i r="1" i="1">
      <x v="1"/>
    </i>
    <i>
      <x v="2"/>
      <x/>
    </i>
    <i r="1" i="1">
      <x v="1"/>
    </i>
    <i>
      <x v="3"/>
      <x/>
    </i>
    <i r="1" i="1">
      <x v="1"/>
    </i>
    <i t="grand">
      <x/>
    </i>
    <i t="grand" i="1">
      <x/>
    </i>
  </rowItems>
  <colFields count="1">
    <field x="1"/>
  </colFields>
  <colItems count="3">
    <i>
      <x/>
    </i>
    <i>
      <x v="1"/>
    </i>
    <i t="grand">
      <x/>
    </i>
  </colItems>
  <dataFields count="2">
    <dataField name="Som van Bedrag" fld="2" baseField="0" baseItem="0" numFmtId="166"/>
    <dataField name="Som van Bedrag incl. korting" fld="4" baseField="0" baseItem="0" numFmtId="16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Draaitabel2" cacheId="91" dataOnRows="1" applyNumberFormats="0" applyBorderFormats="0" applyFontFormats="0" applyPatternFormats="0" applyAlignmentFormats="0" applyWidthHeightFormats="1" dataCaption="Waarden" updatedVersion="4" minRefreshableVersion="3" useAutoFormatting="1" itemPrintTitles="1" createdVersion="4" indent="0" compact="0" compactData="0" multipleFieldFilters="0">
  <location ref="H4:L15" firstHeaderRow="1" firstDataRow="2" firstDataCol="2"/>
  <pivotFields count="5">
    <pivotField axis="axisRow" compact="0" outline="0" showAll="0">
      <items count="5">
        <item x="2"/>
        <item x="3"/>
        <item x="0"/>
        <item x="1"/>
        <item t="default"/>
      </items>
    </pivotField>
    <pivotField axis="axisCol" compact="0" outline="0" showAll="0">
      <items count="3">
        <item x="1"/>
        <item x="0"/>
        <item t="default"/>
      </items>
    </pivotField>
    <pivotField dataField="1" compact="0" outline="0" showAll="0"/>
    <pivotField compact="0" numFmtId="9" outline="0" showAll="0"/>
    <pivotField dataField="1" compact="0" numFmtId="165" outline="0" showAll="0" defaultSubtotal="0"/>
  </pivotFields>
  <rowFields count="2">
    <field x="0"/>
    <field x="-2"/>
  </rowFields>
  <rowItems count="10">
    <i>
      <x/>
      <x/>
    </i>
    <i r="1" i="1">
      <x v="1"/>
    </i>
    <i>
      <x v="1"/>
      <x/>
    </i>
    <i r="1" i="1">
      <x v="1"/>
    </i>
    <i>
      <x v="2"/>
      <x/>
    </i>
    <i r="1" i="1">
      <x v="1"/>
    </i>
    <i>
      <x v="3"/>
      <x/>
    </i>
    <i r="1" i="1">
      <x v="1"/>
    </i>
    <i t="grand">
      <x/>
    </i>
    <i t="grand" i="1">
      <x/>
    </i>
  </rowItems>
  <colFields count="1">
    <field x="1"/>
  </colFields>
  <colItems count="3">
    <i>
      <x/>
    </i>
    <i>
      <x v="1"/>
    </i>
    <i t="grand">
      <x/>
    </i>
  </colItems>
  <dataFields count="2">
    <dataField name="Som van Bedrag" fld="2" baseField="0" baseItem="0" numFmtId="166"/>
    <dataField name="Som van Bedrag incl. korting" fld="4" baseField="0" baseItem="0" numFmtId="16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Draaitabel2" cacheId="90" dataOnRows="1" applyNumberFormats="0" applyBorderFormats="0" applyFontFormats="0" applyPatternFormats="0" applyAlignmentFormats="0" applyWidthHeightFormats="1" dataCaption="Waarden" updatedVersion="4" minRefreshableVersion="3" useAutoFormatting="1" itemPrintTitles="1" createdVersion="4" indent="0" compact="0" compactData="0" multipleFieldFilters="0">
  <location ref="H4:L15" firstHeaderRow="1" firstDataRow="2" firstDataCol="2"/>
  <pivotFields count="5">
    <pivotField axis="axisRow" compact="0" outline="0" showAll="0">
      <items count="5">
        <item x="2"/>
        <item x="3"/>
        <item x="0"/>
        <item x="1"/>
        <item t="default"/>
      </items>
    </pivotField>
    <pivotField axis="axisCol" compact="0" outline="0" showAll="0">
      <items count="3">
        <item x="1"/>
        <item x="0"/>
        <item t="default"/>
      </items>
    </pivotField>
    <pivotField dataField="1" compact="0" outline="0" showAll="0"/>
    <pivotField compact="0" numFmtId="9" outline="0" showAll="0"/>
    <pivotField dataField="1" compact="0" numFmtId="165" outline="0" showAll="0"/>
  </pivotFields>
  <rowFields count="2">
    <field x="0"/>
    <field x="-2"/>
  </rowFields>
  <rowItems count="10">
    <i>
      <x/>
      <x/>
    </i>
    <i r="1" i="1">
      <x v="1"/>
    </i>
    <i>
      <x v="1"/>
      <x/>
    </i>
    <i r="1" i="1">
      <x v="1"/>
    </i>
    <i>
      <x v="2"/>
      <x/>
    </i>
    <i r="1" i="1">
      <x v="1"/>
    </i>
    <i>
      <x v="3"/>
      <x/>
    </i>
    <i r="1" i="1">
      <x v="1"/>
    </i>
    <i t="grand">
      <x/>
    </i>
    <i t="grand" i="1">
      <x/>
    </i>
  </rowItems>
  <colFields count="1">
    <field x="1"/>
  </colFields>
  <colItems count="3">
    <i>
      <x/>
    </i>
    <i>
      <x v="1"/>
    </i>
    <i t="grand">
      <x/>
    </i>
  </colItems>
  <dataFields count="2">
    <dataField name="Som van Bedrag" fld="2" baseField="0" baseItem="0" numFmtId="166"/>
    <dataField name="Som van Bedrag incl. korting" fld="4" baseField="0" baseItem="0" numFmtId="16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blKwRegio" displayName="tblKwRegio" ref="B2:F42" totalsRowShown="0" headerRowDxfId="42">
  <autoFilter ref="B2:F42"/>
  <tableColumns count="5">
    <tableColumn id="1" name="Kwartaal"/>
    <tableColumn id="2" name="Regio"/>
    <tableColumn id="3" name="Bedrag" dataDxfId="41" dataCellStyle="Komma"/>
    <tableColumn id="4" name="Korting%" dataDxfId="40" dataCellStyle="Procent">
      <calculatedColumnFormula>IF(tblKwRegio[[#This Row],[Bedrag]]&gt;100,10%,0)</calculatedColumnFormula>
    </tableColumn>
    <tableColumn id="5" name="Bedrag _x000a_incl. korting" dataDxfId="39" dataCellStyle="Komma">
      <calculatedColumnFormula>tblKwRegio[[#This Row],[Bedrag]]*(1-tblKwRegio[[#This Row],[Korting%]])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blKwReg2" displayName="tblKwReg2" ref="B2:F43" totalsRowCount="1" headerRowDxfId="38">
  <autoFilter ref="B2:F42"/>
  <tableColumns count="5">
    <tableColumn id="1" name="Kwartaal" totalsRowLabel="Totaal"/>
    <tableColumn id="2" name="Regio"/>
    <tableColumn id="3" name="Bedrag" totalsRowFunction="sum" dataDxfId="37" totalsRowDxfId="36" dataCellStyle="Komma"/>
    <tableColumn id="4" name="Korting%" totalsRowFunction="average" dataDxfId="35" totalsRowDxfId="34" dataCellStyle="Procent">
      <calculatedColumnFormula>IF(tblKwReg2[[#This Row],[Bedrag]]&gt;100,10%,0)</calculatedColumnFormula>
    </tableColumn>
    <tableColumn id="5" name="Bedrag _x000a_incl. korting" totalsRowFunction="sum" dataDxfId="33" totalsRowDxfId="32" dataCellStyle="Komma">
      <calculatedColumnFormula>tblKwReg2[[#This Row],[Bedrag]]*(1-tblKwReg2[[#This Row],[Korting%]])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blKwReg2b" displayName="tblKwReg2b" ref="B2:F43" totalsRowCount="1" headerRowDxfId="31">
  <autoFilter ref="B2:F42"/>
  <tableColumns count="5">
    <tableColumn id="1" name="Kwartaal" totalsRowLabel="Totaal"/>
    <tableColumn id="2" name="Regio"/>
    <tableColumn id="3" name="Bedrag" totalsRowFunction="sum" dataDxfId="30" totalsRowDxfId="29" dataCellStyle="Komma"/>
    <tableColumn id="4" name="Korting%" totalsRowFunction="average" dataDxfId="28" totalsRowDxfId="27" dataCellStyle="Procent">
      <calculatedColumnFormula>IF(tblKwReg2b[[#This Row],[Bedrag]]&gt;100,10%,0)</calculatedColumnFormula>
    </tableColumn>
    <tableColumn id="5" name="Bedrag _x000a_incl. korting" totalsRowFunction="sum" dataDxfId="26" totalsRowDxfId="25" dataCellStyle="Komma">
      <calculatedColumnFormula>tblKwReg2b[[#This Row],[Bedrag]]*(1-tblKwReg2b[[#This Row],[Korting%]])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blResult" displayName="tblResult" ref="I25:L27" totalsRowShown="0" headerRowDxfId="24" dataDxfId="22" headerRowBorderDxfId="23" tableBorderDxfId="21" dataCellStyle="Komma">
  <autoFilter ref="I25:L27"/>
  <tableColumns count="4">
    <tableColumn id="1" name="Kwartaal" dataDxfId="20"/>
    <tableColumn id="2" name="Noord" dataDxfId="19" dataCellStyle="Komma">
      <calculatedColumnFormula>SUMIFS(tblKwReg2b[Bedrag],tblKwReg2b[Regio],tblResult[[#Headers],[Noord]],tblKwReg2b[Kwartaal],tblResult[[#This Row],[Kwartaal]])</calculatedColumnFormula>
    </tableColumn>
    <tableColumn id="3" name="Zuid" dataDxfId="18" dataCellStyle="Komma">
      <calculatedColumnFormula>SUMIFS(tblKwReg2b[Bedrag],tblKwReg2b[Regio],tblResult[[#Headers],[Noord]],tblKwReg2b[Kwartaal],tblResult[[#This Row],[Kwartaal]])</calculatedColumnFormula>
    </tableColumn>
    <tableColumn id="4" name="Totaal" dataDxfId="17" dataCellStyle="Komma">
      <calculatedColumnFormula>SUMIF(tblKwReg2b[Kwartaal],I26,tblKwReg2b[Bedrag])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blResult2" displayName="tblResult2" ref="I30:L32" totalsRowShown="0" headerRowDxfId="16" dataDxfId="14" headerRowBorderDxfId="15" tableBorderDxfId="13" dataCellStyle="Komma">
  <autoFilter ref="I30:L32"/>
  <tableColumns count="4">
    <tableColumn id="1" name="Kwartaal" dataDxfId="12"/>
    <tableColumn id="2" name="Noord" dataDxfId="11" dataCellStyle="Komma">
      <calculatedColumnFormula>SUMIFS(tblKwReg2b[[Bedrag]:[Bedrag]],tblKwReg2b[[Regio]:[Regio]],tblResult2[[#Headers],[Noord]],tblKwReg2b[[Kwartaal]:[Kwartaal]],tblResult2[[#This Row],[Kwartaal]:[Kwartaal]])</calculatedColumnFormula>
    </tableColumn>
    <tableColumn id="3" name="Zuid" dataDxfId="10" dataCellStyle="Komma"/>
    <tableColumn id="4" name="Totaal" dataDxfId="9" dataCellStyle="Komma">
      <calculatedColumnFormula>SUMIF(tblKwReg2b[Kwartaal],I31,tblKwReg2b[Bedrag])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blKwReg2c" displayName="tblKwReg2c" ref="B2:G43" totalsRowCount="1" headerRowDxfId="8">
  <autoFilter ref="B2:G42"/>
  <tableColumns count="6">
    <tableColumn id="1" name="Kwartaal" totalsRowLabel="Totaal"/>
    <tableColumn id="2" name="Regio"/>
    <tableColumn id="3" name="Bedrag" totalsRowFunction="sum" dataDxfId="7" totalsRowDxfId="6" dataCellStyle="Komma"/>
    <tableColumn id="6" name="% _x000a_van totaal" totalsRowFunction="sum" dataDxfId="5" totalsRowDxfId="4" dataCellStyle="Komma">
      <calculatedColumnFormula>tblKwReg2c[[#This Row],[Bedrag]]/tblKwReg2c[[#Totals],[Bedrag]]</calculatedColumnFormula>
    </tableColumn>
    <tableColumn id="4" name="Korting%" dataDxfId="3" totalsRowDxfId="2" dataCellStyle="Procent">
      <calculatedColumnFormula>IF(tblKwReg2c[[#This Row],[Bedrag]]&gt;100,10%,0)</calculatedColumnFormula>
    </tableColumn>
    <tableColumn id="5" name="Bedrag _x000a_incl. korting" totalsRowFunction="sum" dataDxfId="1" totalsRowDxfId="0" dataCellStyle="Komma">
      <calculatedColumnFormula>tblKwReg2c[[#This Row],[Bedrag]]*(1-tblKwReg2c[[#This Row],[Korting%]])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info.nl/?page_id=68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Relationship Id="rId2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Relationship Id="rId2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4" Type="http://schemas.openxmlformats.org/officeDocument/2006/relationships/table" Target="../tables/table5.xml"/><Relationship Id="rId1" Type="http://schemas.openxmlformats.org/officeDocument/2006/relationships/pivotTable" Target="../pivotTables/pivotTable4.xml"/><Relationship Id="rId2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0"/>
    <pageSetUpPr fitToPage="1"/>
  </sheetPr>
  <dimension ref="A1:AR82"/>
  <sheetViews>
    <sheetView showGridLines="0" showRowColHeaders="0" tabSelected="1" workbookViewId="0"/>
  </sheetViews>
  <sheetFormatPr baseColWidth="10" defaultColWidth="0" defaultRowHeight="12.75" customHeight="1" zeroHeight="1" x14ac:dyDescent="0"/>
  <cols>
    <col min="1" max="1" width="1.1640625" style="36" customWidth="1"/>
    <col min="2" max="3" width="8.83203125" style="36" customWidth="1"/>
    <col min="4" max="4" width="2.6640625" style="36" customWidth="1"/>
    <col min="5" max="13" width="8.83203125" style="36" customWidth="1"/>
    <col min="14" max="14" width="5.83203125" style="53" customWidth="1"/>
    <col min="15" max="15" width="10.33203125" style="36" customWidth="1"/>
    <col min="16" max="16" width="2.83203125" style="36" customWidth="1"/>
    <col min="17" max="26" width="9.1640625" style="36" customWidth="1"/>
    <col min="27" max="16384" width="9.1640625" style="36" hidden="1"/>
  </cols>
  <sheetData>
    <row r="1" spans="1:44" ht="7" customHeight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</row>
    <row r="2" spans="1:44" ht="1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5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</row>
    <row r="3" spans="1:44" ht="1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5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</row>
    <row r="4" spans="1:44" ht="13" thickBot="1">
      <c r="A4" s="34"/>
      <c r="B4" s="34"/>
      <c r="C4" s="34"/>
      <c r="D4" s="37"/>
      <c r="E4" s="37"/>
      <c r="F4" s="37"/>
      <c r="G4" s="37"/>
      <c r="H4" s="37"/>
      <c r="I4" s="37"/>
      <c r="J4" s="37"/>
      <c r="K4" s="37"/>
      <c r="L4" s="37"/>
      <c r="M4" s="37"/>
      <c r="N4" s="38"/>
      <c r="O4" s="37"/>
      <c r="P4" s="37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</row>
    <row r="5" spans="1:44" ht="13" thickTop="1">
      <c r="A5" s="34"/>
      <c r="B5" s="34"/>
      <c r="C5" s="34"/>
      <c r="D5" s="37"/>
      <c r="E5" s="39"/>
      <c r="F5" s="40"/>
      <c r="G5" s="40"/>
      <c r="H5" s="40"/>
      <c r="I5" s="40"/>
      <c r="J5" s="40"/>
      <c r="K5" s="40"/>
      <c r="L5" s="40"/>
      <c r="M5" s="40"/>
      <c r="N5" s="40"/>
      <c r="O5" s="41"/>
      <c r="P5" s="37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</row>
    <row r="6" spans="1:44" ht="18">
      <c r="A6" s="34"/>
      <c r="B6" s="34"/>
      <c r="C6" s="34"/>
      <c r="D6" s="37"/>
      <c r="E6" s="42"/>
      <c r="F6" s="43"/>
      <c r="G6" s="38"/>
      <c r="H6" s="38"/>
      <c r="I6" s="38"/>
      <c r="J6" s="38"/>
      <c r="K6" s="38"/>
      <c r="L6" s="38"/>
      <c r="M6" s="38"/>
      <c r="N6" s="38"/>
      <c r="O6" s="44"/>
      <c r="P6" s="37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</row>
    <row r="7" spans="1:44" ht="12">
      <c r="A7" s="34"/>
      <c r="B7" s="34"/>
      <c r="C7" s="34"/>
      <c r="D7" s="37"/>
      <c r="E7" s="42"/>
      <c r="F7" s="38"/>
      <c r="G7" s="38"/>
      <c r="H7" s="38"/>
      <c r="I7" s="38"/>
      <c r="J7" s="38"/>
      <c r="K7" s="38"/>
      <c r="L7" s="38"/>
      <c r="M7" s="38"/>
      <c r="N7" s="38"/>
      <c r="O7" s="44"/>
      <c r="P7" s="37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</row>
    <row r="8" spans="1:44" ht="12">
      <c r="A8" s="34"/>
      <c r="B8" s="34"/>
      <c r="C8" s="34"/>
      <c r="D8" s="37"/>
      <c r="E8" s="42"/>
      <c r="F8" s="38"/>
      <c r="G8" s="38"/>
      <c r="H8" s="38"/>
      <c r="I8" s="38"/>
      <c r="J8" s="38"/>
      <c r="K8" s="38"/>
      <c r="L8" s="38"/>
      <c r="M8" s="38"/>
      <c r="N8" s="38"/>
      <c r="O8" s="44"/>
      <c r="P8" s="37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</row>
    <row r="9" spans="1:44" ht="12">
      <c r="A9" s="34"/>
      <c r="B9" s="34"/>
      <c r="C9" s="34"/>
      <c r="D9" s="37"/>
      <c r="E9" s="42"/>
      <c r="F9" s="38"/>
      <c r="G9" s="38"/>
      <c r="H9" s="38"/>
      <c r="I9" s="38"/>
      <c r="J9" s="38"/>
      <c r="K9" s="38"/>
      <c r="L9" s="38"/>
      <c r="M9" s="38"/>
      <c r="N9" s="38"/>
      <c r="O9" s="44"/>
      <c r="P9" s="37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</row>
    <row r="10" spans="1:44" ht="12">
      <c r="A10" s="34"/>
      <c r="B10" s="34"/>
      <c r="C10" s="34"/>
      <c r="D10" s="37"/>
      <c r="E10" s="42"/>
      <c r="F10" s="38"/>
      <c r="G10" s="38"/>
      <c r="H10" s="38"/>
      <c r="I10" s="38"/>
      <c r="J10" s="38"/>
      <c r="K10" s="38"/>
      <c r="L10" s="38"/>
      <c r="M10" s="38"/>
      <c r="N10" s="38"/>
      <c r="O10" s="44"/>
      <c r="P10" s="37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</row>
    <row r="11" spans="1:44" ht="12">
      <c r="A11" s="34"/>
      <c r="B11" s="34"/>
      <c r="C11" s="34"/>
      <c r="D11" s="37"/>
      <c r="E11" s="42"/>
      <c r="F11" s="38"/>
      <c r="G11" s="38"/>
      <c r="H11" s="38"/>
      <c r="I11" s="38"/>
      <c r="J11" s="38"/>
      <c r="K11" s="38"/>
      <c r="L11" s="38"/>
      <c r="M11" s="38"/>
      <c r="N11" s="38"/>
      <c r="O11" s="44"/>
      <c r="P11" s="37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</row>
    <row r="12" spans="1:44" ht="12">
      <c r="A12" s="34"/>
      <c r="B12" s="34"/>
      <c r="C12" s="34"/>
      <c r="D12" s="37"/>
      <c r="E12" s="42"/>
      <c r="F12" s="38"/>
      <c r="G12" s="38"/>
      <c r="H12" s="38"/>
      <c r="I12" s="38"/>
      <c r="J12" s="38"/>
      <c r="K12" s="38"/>
      <c r="L12" s="38"/>
      <c r="M12" s="38"/>
      <c r="N12" s="38"/>
      <c r="O12" s="44"/>
      <c r="P12" s="37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</row>
    <row r="13" spans="1:44" ht="12">
      <c r="A13" s="34"/>
      <c r="B13" s="34"/>
      <c r="C13" s="34"/>
      <c r="D13" s="37"/>
      <c r="E13" s="42"/>
      <c r="F13" s="38"/>
      <c r="G13" s="38"/>
      <c r="H13" s="38"/>
      <c r="I13" s="38"/>
      <c r="J13" s="38"/>
      <c r="K13" s="38"/>
      <c r="L13" s="38"/>
      <c r="M13" s="38"/>
      <c r="N13" s="38"/>
      <c r="O13" s="44"/>
      <c r="P13" s="37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</row>
    <row r="14" spans="1:44" ht="12">
      <c r="A14" s="34"/>
      <c r="B14" s="34"/>
      <c r="C14" s="34"/>
      <c r="D14" s="37"/>
      <c r="E14" s="42"/>
      <c r="F14" s="38"/>
      <c r="G14" s="38"/>
      <c r="H14" s="38"/>
      <c r="I14" s="38"/>
      <c r="J14" s="38"/>
      <c r="K14" s="38"/>
      <c r="L14" s="38"/>
      <c r="M14" s="38"/>
      <c r="N14" s="38"/>
      <c r="O14" s="44"/>
      <c r="P14" s="37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</row>
    <row r="15" spans="1:44" ht="12">
      <c r="A15" s="34"/>
      <c r="B15" s="34"/>
      <c r="C15" s="34"/>
      <c r="D15" s="37"/>
      <c r="E15" s="42"/>
      <c r="F15" s="38"/>
      <c r="G15" s="38"/>
      <c r="H15" s="38"/>
      <c r="I15" s="38"/>
      <c r="J15" s="38"/>
      <c r="K15" s="38"/>
      <c r="L15" s="38"/>
      <c r="M15" s="38"/>
      <c r="N15" s="38"/>
      <c r="O15" s="44"/>
      <c r="P15" s="37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</row>
    <row r="16" spans="1:44" ht="12">
      <c r="A16" s="34"/>
      <c r="B16" s="34"/>
      <c r="C16" s="34"/>
      <c r="D16" s="37"/>
      <c r="E16" s="42"/>
      <c r="F16" s="38"/>
      <c r="G16" s="38"/>
      <c r="H16" s="38"/>
      <c r="I16" s="38"/>
      <c r="J16" s="38"/>
      <c r="K16" s="38"/>
      <c r="L16" s="38"/>
      <c r="M16" s="38"/>
      <c r="N16" s="38"/>
      <c r="O16" s="44"/>
      <c r="P16" s="37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</row>
    <row r="17" spans="1:44" ht="12">
      <c r="A17" s="34"/>
      <c r="B17" s="34"/>
      <c r="C17" s="34"/>
      <c r="D17" s="37"/>
      <c r="E17" s="42"/>
      <c r="F17" s="38"/>
      <c r="G17" s="38"/>
      <c r="H17" s="38"/>
      <c r="I17" s="38"/>
      <c r="J17" s="38"/>
      <c r="K17" s="38"/>
      <c r="L17" s="38"/>
      <c r="M17" s="38"/>
      <c r="N17" s="38"/>
      <c r="O17" s="44"/>
      <c r="P17" s="37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</row>
    <row r="18" spans="1:44" ht="34">
      <c r="A18" s="34"/>
      <c r="B18" s="34"/>
      <c r="C18" s="34"/>
      <c r="D18" s="37"/>
      <c r="E18" s="42"/>
      <c r="F18" s="38"/>
      <c r="G18" s="38"/>
      <c r="H18" s="38"/>
      <c r="I18" s="38"/>
      <c r="J18" s="38"/>
      <c r="K18" s="38"/>
      <c r="L18" s="38"/>
      <c r="M18" s="38"/>
      <c r="N18" s="45"/>
      <c r="O18" s="44"/>
      <c r="P18" s="37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</row>
    <row r="19" spans="1:44" ht="12">
      <c r="A19" s="34"/>
      <c r="B19" s="34"/>
      <c r="C19" s="34"/>
      <c r="D19" s="37"/>
      <c r="E19" s="42"/>
      <c r="F19" s="38"/>
      <c r="G19" s="38"/>
      <c r="H19" s="38"/>
      <c r="I19" s="38"/>
      <c r="J19" s="38"/>
      <c r="K19" s="38"/>
      <c r="L19" s="38"/>
      <c r="M19" s="38"/>
      <c r="N19" s="38"/>
      <c r="O19" s="44"/>
      <c r="P19" s="37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</row>
    <row r="20" spans="1:44" ht="12">
      <c r="A20" s="34"/>
      <c r="B20" s="34"/>
      <c r="C20" s="34"/>
      <c r="D20" s="37"/>
      <c r="E20" s="42"/>
      <c r="F20" s="38"/>
      <c r="G20" s="38"/>
      <c r="H20" s="38"/>
      <c r="I20" s="38"/>
      <c r="J20" s="38"/>
      <c r="K20" s="38"/>
      <c r="L20" s="38"/>
      <c r="M20" s="38"/>
      <c r="N20" s="38"/>
      <c r="O20" s="44"/>
      <c r="P20" s="37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</row>
    <row r="21" spans="1:44" ht="12">
      <c r="A21" s="34"/>
      <c r="B21" s="34"/>
      <c r="C21" s="34"/>
      <c r="D21" s="37"/>
      <c r="E21" s="42"/>
      <c r="F21" s="38"/>
      <c r="G21" s="38"/>
      <c r="H21" s="38"/>
      <c r="I21" s="38"/>
      <c r="J21" s="38"/>
      <c r="K21" s="38"/>
      <c r="L21" s="38"/>
      <c r="M21" s="38"/>
      <c r="N21" s="38"/>
      <c r="O21" s="44"/>
      <c r="P21" s="37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</row>
    <row r="22" spans="1:44" ht="12">
      <c r="A22" s="34"/>
      <c r="B22" s="34"/>
      <c r="C22" s="34"/>
      <c r="D22" s="37"/>
      <c r="E22" s="42"/>
      <c r="F22" s="38"/>
      <c r="G22" s="38"/>
      <c r="H22" s="38"/>
      <c r="I22" s="38"/>
      <c r="J22" s="38"/>
      <c r="K22" s="38"/>
      <c r="L22" s="38"/>
      <c r="M22" s="38"/>
      <c r="N22" s="38"/>
      <c r="O22" s="44"/>
      <c r="P22" s="37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</row>
    <row r="23" spans="1:44" ht="12">
      <c r="A23" s="34"/>
      <c r="B23" s="34"/>
      <c r="C23" s="34"/>
      <c r="D23" s="37"/>
      <c r="E23" s="42"/>
      <c r="F23" s="38"/>
      <c r="G23" s="38"/>
      <c r="H23" s="38"/>
      <c r="I23" s="38"/>
      <c r="J23" s="38"/>
      <c r="K23" s="38"/>
      <c r="L23" s="38"/>
      <c r="M23" s="38"/>
      <c r="N23" s="38"/>
      <c r="O23" s="44"/>
      <c r="P23" s="37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</row>
    <row r="24" spans="1:44" ht="21">
      <c r="A24" s="34"/>
      <c r="B24" s="34"/>
      <c r="C24" s="34"/>
      <c r="D24" s="37"/>
      <c r="E24" s="42"/>
      <c r="F24" s="38"/>
      <c r="G24" s="38"/>
      <c r="H24" s="38"/>
      <c r="I24" s="38"/>
      <c r="J24" s="38"/>
      <c r="K24" s="38"/>
      <c r="L24" s="38"/>
      <c r="M24" s="38"/>
      <c r="N24" s="46" t="s">
        <v>28</v>
      </c>
      <c r="O24" s="44"/>
      <c r="P24" s="37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</row>
    <row r="25" spans="1:44" ht="12">
      <c r="A25" s="34"/>
      <c r="B25" s="34"/>
      <c r="C25" s="34"/>
      <c r="D25" s="37"/>
      <c r="E25" s="42"/>
      <c r="F25" s="38"/>
      <c r="G25" s="38"/>
      <c r="H25" s="38"/>
      <c r="I25" s="38"/>
      <c r="J25" s="38"/>
      <c r="K25" s="38"/>
      <c r="L25" s="38"/>
      <c r="M25" s="38"/>
      <c r="N25" s="38"/>
      <c r="O25" s="44"/>
      <c r="P25" s="37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</row>
    <row r="26" spans="1:44" ht="12">
      <c r="A26" s="34"/>
      <c r="B26" s="34"/>
      <c r="C26" s="34"/>
      <c r="D26" s="37"/>
      <c r="E26" s="42"/>
      <c r="F26" s="38"/>
      <c r="G26" s="38"/>
      <c r="H26" s="38"/>
      <c r="I26" s="38"/>
      <c r="J26" s="38"/>
      <c r="K26" s="38"/>
      <c r="L26" s="38"/>
      <c r="M26" s="38"/>
      <c r="N26" s="38"/>
      <c r="O26" s="44"/>
      <c r="P26" s="37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</row>
    <row r="27" spans="1:44" ht="12">
      <c r="A27" s="34"/>
      <c r="B27" s="34"/>
      <c r="C27" s="34"/>
      <c r="D27" s="37"/>
      <c r="E27" s="42"/>
      <c r="F27" s="38"/>
      <c r="G27" s="38"/>
      <c r="H27" s="38"/>
      <c r="I27" s="38"/>
      <c r="J27" s="38"/>
      <c r="K27" s="38"/>
      <c r="L27" s="38"/>
      <c r="M27" s="38"/>
      <c r="N27" s="38"/>
      <c r="O27" s="44"/>
      <c r="P27" s="37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</row>
    <row r="28" spans="1:44" ht="12">
      <c r="A28" s="34"/>
      <c r="B28" s="34"/>
      <c r="C28" s="34"/>
      <c r="D28" s="37"/>
      <c r="E28" s="42"/>
      <c r="F28" s="38"/>
      <c r="G28" s="38"/>
      <c r="H28" s="38"/>
      <c r="I28" s="38"/>
      <c r="J28" s="38"/>
      <c r="K28" s="38"/>
      <c r="L28" s="38"/>
      <c r="M28" s="38"/>
      <c r="N28" s="38"/>
      <c r="O28" s="44"/>
      <c r="P28" s="37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</row>
    <row r="29" spans="1:44" ht="12">
      <c r="A29" s="34"/>
      <c r="B29" s="34"/>
      <c r="C29" s="34"/>
      <c r="D29" s="37"/>
      <c r="E29" s="42"/>
      <c r="F29" s="38"/>
      <c r="G29" s="38"/>
      <c r="H29" s="38"/>
      <c r="I29" s="38"/>
      <c r="J29" s="38"/>
      <c r="K29" s="38"/>
      <c r="L29" s="38"/>
      <c r="M29" s="38"/>
      <c r="N29" s="38"/>
      <c r="O29" s="44"/>
      <c r="P29" s="37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</row>
    <row r="30" spans="1:44" ht="12">
      <c r="A30" s="34"/>
      <c r="B30" s="34"/>
      <c r="C30" s="34"/>
      <c r="D30" s="37"/>
      <c r="E30" s="42"/>
      <c r="F30" s="38"/>
      <c r="G30" s="38"/>
      <c r="H30" s="38"/>
      <c r="I30" s="38"/>
      <c r="J30" s="38"/>
      <c r="K30" s="38"/>
      <c r="L30" s="38"/>
      <c r="M30" s="38"/>
      <c r="N30" s="38"/>
      <c r="O30" s="44"/>
      <c r="P30" s="37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</row>
    <row r="31" spans="1:44" ht="12">
      <c r="A31" s="34"/>
      <c r="B31" s="34"/>
      <c r="C31" s="34"/>
      <c r="D31" s="37"/>
      <c r="E31" s="42"/>
      <c r="F31" s="38"/>
      <c r="G31" s="38"/>
      <c r="H31" s="38"/>
      <c r="I31" s="38"/>
      <c r="J31" s="38"/>
      <c r="K31" s="38"/>
      <c r="L31" s="38"/>
      <c r="M31" s="38"/>
      <c r="N31" s="38"/>
      <c r="O31" s="44"/>
      <c r="P31" s="37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</row>
    <row r="32" spans="1:44" ht="12">
      <c r="A32" s="34"/>
      <c r="B32" s="34"/>
      <c r="C32" s="34"/>
      <c r="D32" s="37"/>
      <c r="E32" s="42"/>
      <c r="F32" s="38"/>
      <c r="G32" s="38"/>
      <c r="H32" s="38"/>
      <c r="I32" s="38"/>
      <c r="J32" s="38"/>
      <c r="K32" s="38"/>
      <c r="L32" s="38"/>
      <c r="M32" s="38"/>
      <c r="N32" s="38"/>
      <c r="O32" s="44"/>
      <c r="P32" s="37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</row>
    <row r="33" spans="1:44" ht="13">
      <c r="A33" s="34"/>
      <c r="B33" s="34"/>
      <c r="C33" s="34"/>
      <c r="D33" s="37"/>
      <c r="E33" s="42"/>
      <c r="F33" s="38"/>
      <c r="G33" s="38"/>
      <c r="H33" s="38"/>
      <c r="I33" s="38"/>
      <c r="J33" s="38"/>
      <c r="K33" s="38"/>
      <c r="L33" s="38"/>
      <c r="M33" s="38"/>
      <c r="N33" s="47" t="s">
        <v>26</v>
      </c>
      <c r="O33" s="44"/>
      <c r="P33" s="37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</row>
    <row r="34" spans="1:44" ht="12">
      <c r="A34" s="34"/>
      <c r="B34" s="34"/>
      <c r="C34" s="34"/>
      <c r="D34" s="37"/>
      <c r="E34" s="42"/>
      <c r="F34" s="38"/>
      <c r="G34" s="38"/>
      <c r="H34" s="38"/>
      <c r="I34" s="38"/>
      <c r="J34" s="38"/>
      <c r="K34" s="38"/>
      <c r="L34" s="38"/>
      <c r="M34" s="38"/>
      <c r="N34" s="48" t="s">
        <v>27</v>
      </c>
      <c r="O34" s="44"/>
      <c r="P34" s="37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</row>
    <row r="35" spans="1:44" ht="12">
      <c r="A35" s="34"/>
      <c r="B35" s="34"/>
      <c r="C35" s="34"/>
      <c r="D35" s="37"/>
      <c r="E35" s="42"/>
      <c r="F35" s="38"/>
      <c r="G35" s="38"/>
      <c r="H35" s="38"/>
      <c r="I35" s="38"/>
      <c r="J35" s="38"/>
      <c r="K35" s="38"/>
      <c r="L35" s="38"/>
      <c r="M35" s="38"/>
      <c r="N35" s="49"/>
      <c r="O35" s="44"/>
      <c r="P35" s="37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</row>
    <row r="36" spans="1:44" ht="12">
      <c r="A36" s="34"/>
      <c r="B36" s="34"/>
      <c r="C36" s="34"/>
      <c r="D36" s="37"/>
      <c r="E36" s="42"/>
      <c r="F36" s="38"/>
      <c r="G36" s="38"/>
      <c r="H36" s="38"/>
      <c r="I36" s="38"/>
      <c r="J36" s="38"/>
      <c r="K36" s="38"/>
      <c r="L36" s="38"/>
      <c r="M36" s="38"/>
      <c r="N36" s="38"/>
      <c r="O36" s="44"/>
      <c r="P36" s="37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</row>
    <row r="37" spans="1:44" ht="13" thickBot="1">
      <c r="A37" s="34"/>
      <c r="B37" s="34"/>
      <c r="C37" s="34"/>
      <c r="D37" s="37"/>
      <c r="E37" s="50"/>
      <c r="F37" s="51"/>
      <c r="G37" s="51"/>
      <c r="H37" s="51"/>
      <c r="I37" s="51"/>
      <c r="J37" s="51"/>
      <c r="K37" s="51"/>
      <c r="L37" s="51"/>
      <c r="M37" s="51"/>
      <c r="N37" s="51"/>
      <c r="O37" s="52"/>
      <c r="P37" s="37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</row>
    <row r="38" spans="1:44" ht="13" thickTop="1">
      <c r="A38" s="34"/>
      <c r="B38" s="34"/>
      <c r="C38" s="3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8"/>
      <c r="O38" s="37"/>
      <c r="P38" s="37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</row>
    <row r="39" spans="1:44" ht="12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5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</row>
    <row r="40" spans="1:44" ht="12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5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</row>
    <row r="41" spans="1:44" ht="12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5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</row>
    <row r="42" spans="1:44" ht="12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5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</row>
    <row r="43" spans="1:44" ht="12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5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</row>
    <row r="44" spans="1:44" ht="12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5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</row>
    <row r="45" spans="1:44" ht="12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5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</row>
    <row r="46" spans="1:44" ht="12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5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</row>
    <row r="47" spans="1:44" ht="12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5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</row>
    <row r="48" spans="1:44" ht="12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5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</row>
    <row r="49" spans="1:44" ht="12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5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</row>
    <row r="50" spans="1:44" ht="12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5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</row>
    <row r="51" spans="1:44" ht="12" hidden="1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5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</row>
    <row r="52" spans="1:44" ht="12" hidden="1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5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</row>
    <row r="53" spans="1:44" ht="12" hidden="1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5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4" ht="12" hidden="1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5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4" ht="12" hidden="1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5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4" ht="12" hidden="1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5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</row>
    <row r="57" spans="1:44" ht="12" hidden="1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5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</row>
    <row r="58" spans="1:44" ht="12" hidden="1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5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</row>
    <row r="59" spans="1:44" ht="12" hidden="1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5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</row>
    <row r="60" spans="1:44" ht="12" hidden="1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5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</row>
    <row r="61" spans="1:44" ht="12" hidden="1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5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</row>
    <row r="62" spans="1:44" ht="12" hidden="1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5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</row>
    <row r="63" spans="1:44" ht="12" hidden="1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5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</row>
    <row r="64" spans="1:44" ht="12" hidden="1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5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</row>
    <row r="65" spans="1:44" ht="12" hidden="1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5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</row>
    <row r="66" spans="1:44" ht="12" hidden="1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5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</row>
    <row r="67" spans="1:44" ht="12" hidden="1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5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</row>
    <row r="68" spans="1:44" ht="12" hidden="1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5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</row>
    <row r="69" spans="1:44" ht="12" hidden="1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5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</row>
    <row r="70" spans="1:44" ht="12" hidden="1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5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</row>
    <row r="71" spans="1:44" ht="12" hidden="1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5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</row>
    <row r="72" spans="1:44" ht="12" hidden="1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5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</row>
    <row r="73" spans="1:44" ht="12" hidden="1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5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</row>
    <row r="74" spans="1:44" ht="12" hidden="1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5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</row>
    <row r="75" spans="1:44" ht="12" hidden="1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5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</row>
    <row r="76" spans="1:44" ht="12" hidden="1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5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</row>
    <row r="77" spans="1:44" ht="12" hidden="1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5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</row>
    <row r="78" spans="1:44" ht="12" hidden="1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5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</row>
    <row r="79" spans="1:44" ht="12" hidden="1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5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</row>
    <row r="80" spans="1:44" ht="12" hidden="1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5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</row>
    <row r="81" spans="1:44" ht="12" hidden="1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5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</row>
    <row r="82" spans="1:44" ht="12" hidden="1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5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</row>
  </sheetData>
  <sheetProtection selectLockedCells="1" selectUnlockedCells="1"/>
  <hyperlinks>
    <hyperlink ref="N34" r:id="rId1" tooltip="Klik hier voor meer tips."/>
  </hyperlinks>
  <pageMargins left="0.24000000000000002" right="0.24000000000000002" top="0.43000000000000005" bottom="0.49" header="0.17000000000000004" footer="0.24000000000000002"/>
  <pageSetup paperSize="9" scale="43" orientation="portrait"/>
  <headerFooter>
    <oddHeader>&amp;R&amp;8&amp;U&amp;K000000G-Info</oddHeader>
    <oddFooter>&amp;L&amp;8&amp;D, &amp;T&amp;C&amp;8&amp;F/&amp;A&amp;R&amp;8Pag. &amp;P van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2"/>
  <sheetViews>
    <sheetView workbookViewId="0"/>
  </sheetViews>
  <sheetFormatPr baseColWidth="10" defaultColWidth="8.83203125" defaultRowHeight="12" x14ac:dyDescent="0"/>
  <cols>
    <col min="1" max="1" width="3.33203125" customWidth="1"/>
    <col min="2" max="2" width="8.1640625" bestFit="1" customWidth="1"/>
    <col min="3" max="3" width="5.83203125" bestFit="1" customWidth="1"/>
    <col min="4" max="4" width="7.6640625" bestFit="1" customWidth="1"/>
    <col min="5" max="5" width="8.5" bestFit="1" customWidth="1"/>
    <col min="6" max="6" width="10.5" bestFit="1" customWidth="1"/>
    <col min="7" max="7" width="4.1640625" customWidth="1"/>
    <col min="8" max="8" width="36" bestFit="1" customWidth="1"/>
    <col min="9" max="9" width="25.1640625" customWidth="1"/>
    <col min="10" max="11" width="8.5" customWidth="1"/>
    <col min="12" max="12" width="10.1640625" customWidth="1"/>
    <col min="13" max="13" width="22.83203125" bestFit="1" customWidth="1"/>
    <col min="14" max="14" width="36" bestFit="1" customWidth="1"/>
  </cols>
  <sheetData>
    <row r="2" spans="2:12" s="2" customFormat="1" ht="24">
      <c r="B2" s="2" t="s">
        <v>0</v>
      </c>
      <c r="C2" s="2" t="s">
        <v>1</v>
      </c>
      <c r="D2" s="2" t="s">
        <v>2</v>
      </c>
      <c r="E2" s="2" t="s">
        <v>3</v>
      </c>
      <c r="F2" s="3" t="s">
        <v>4</v>
      </c>
    </row>
    <row r="3" spans="2:12">
      <c r="B3" t="s">
        <v>5</v>
      </c>
      <c r="C3" t="s">
        <v>6</v>
      </c>
      <c r="D3" s="7">
        <v>106</v>
      </c>
      <c r="E3" s="1">
        <f>IF(D3&gt;100,10%,0)</f>
        <v>0.1</v>
      </c>
      <c r="F3" s="4">
        <f>D3*(1-E3)</f>
        <v>95.4</v>
      </c>
    </row>
    <row r="4" spans="2:12">
      <c r="B4" t="s">
        <v>7</v>
      </c>
      <c r="C4" t="s">
        <v>6</v>
      </c>
      <c r="D4" s="7">
        <v>122</v>
      </c>
      <c r="E4" s="1">
        <f t="shared" ref="E4:E42" si="0">IF(D4&gt;100,10%,0)</f>
        <v>0.1</v>
      </c>
      <c r="F4" s="4">
        <f t="shared" ref="F4:F42" si="1">D4*(1-E4)</f>
        <v>109.8</v>
      </c>
      <c r="J4" s="5" t="s">
        <v>1</v>
      </c>
    </row>
    <row r="5" spans="2:12">
      <c r="B5" t="s">
        <v>8</v>
      </c>
      <c r="C5" t="s">
        <v>6</v>
      </c>
      <c r="D5" s="7">
        <v>118</v>
      </c>
      <c r="E5" s="1">
        <f t="shared" si="0"/>
        <v>0.1</v>
      </c>
      <c r="F5" s="4">
        <f t="shared" si="1"/>
        <v>106.2</v>
      </c>
      <c r="H5" s="5" t="s">
        <v>0</v>
      </c>
      <c r="I5" s="5" t="s">
        <v>14</v>
      </c>
      <c r="J5" t="s">
        <v>9</v>
      </c>
      <c r="K5" t="s">
        <v>6</v>
      </c>
      <c r="L5" t="s">
        <v>11</v>
      </c>
    </row>
    <row r="6" spans="2:12">
      <c r="B6" t="s">
        <v>7</v>
      </c>
      <c r="C6" t="s">
        <v>9</v>
      </c>
      <c r="D6" s="7">
        <v>102</v>
      </c>
      <c r="E6" s="1">
        <f t="shared" si="0"/>
        <v>0.1</v>
      </c>
      <c r="F6" s="4">
        <f t="shared" si="1"/>
        <v>91.8</v>
      </c>
      <c r="H6" t="s">
        <v>8</v>
      </c>
      <c r="I6" t="s">
        <v>12</v>
      </c>
      <c r="J6" s="6">
        <v>677</v>
      </c>
      <c r="K6" s="6">
        <v>446</v>
      </c>
      <c r="L6" s="6">
        <v>1123</v>
      </c>
    </row>
    <row r="7" spans="2:12">
      <c r="B7" t="s">
        <v>5</v>
      </c>
      <c r="C7" t="s">
        <v>9</v>
      </c>
      <c r="D7" s="7">
        <v>112</v>
      </c>
      <c r="E7" s="1">
        <f t="shared" si="0"/>
        <v>0.1</v>
      </c>
      <c r="F7" s="4">
        <f t="shared" si="1"/>
        <v>100.8</v>
      </c>
      <c r="I7" t="s">
        <v>15</v>
      </c>
      <c r="J7" s="6">
        <v>642.5</v>
      </c>
      <c r="K7" s="6">
        <v>410.90000000000003</v>
      </c>
      <c r="L7" s="6">
        <v>1053.4000000000001</v>
      </c>
    </row>
    <row r="8" spans="2:12">
      <c r="B8" t="s">
        <v>5</v>
      </c>
      <c r="C8" t="s">
        <v>9</v>
      </c>
      <c r="D8" s="7">
        <v>104</v>
      </c>
      <c r="E8" s="1">
        <f t="shared" si="0"/>
        <v>0.1</v>
      </c>
      <c r="F8" s="4">
        <f t="shared" si="1"/>
        <v>93.600000000000009</v>
      </c>
      <c r="H8" t="s">
        <v>10</v>
      </c>
      <c r="I8" t="s">
        <v>12</v>
      </c>
      <c r="J8" s="6">
        <v>605</v>
      </c>
      <c r="K8" s="6">
        <v>638</v>
      </c>
      <c r="L8" s="6">
        <v>1243</v>
      </c>
    </row>
    <row r="9" spans="2:12">
      <c r="B9" t="s">
        <v>10</v>
      </c>
      <c r="C9" t="s">
        <v>9</v>
      </c>
      <c r="D9" s="7">
        <v>100</v>
      </c>
      <c r="E9" s="1">
        <f t="shared" si="0"/>
        <v>0</v>
      </c>
      <c r="F9" s="4">
        <f t="shared" si="1"/>
        <v>100</v>
      </c>
      <c r="I9" t="s">
        <v>15</v>
      </c>
      <c r="J9" s="6">
        <v>572.1</v>
      </c>
      <c r="K9" s="6">
        <v>583.5</v>
      </c>
      <c r="L9" s="6">
        <v>1155.5999999999999</v>
      </c>
    </row>
    <row r="10" spans="2:12">
      <c r="B10" t="s">
        <v>10</v>
      </c>
      <c r="C10" t="s">
        <v>6</v>
      </c>
      <c r="D10" s="7">
        <v>125</v>
      </c>
      <c r="E10" s="1">
        <f t="shared" si="0"/>
        <v>0.1</v>
      </c>
      <c r="F10" s="4">
        <f t="shared" si="1"/>
        <v>112.5</v>
      </c>
      <c r="H10" t="s">
        <v>5</v>
      </c>
      <c r="I10" t="s">
        <v>12</v>
      </c>
      <c r="J10" s="6">
        <v>534</v>
      </c>
      <c r="K10" s="6">
        <v>652</v>
      </c>
      <c r="L10" s="6">
        <v>1186</v>
      </c>
    </row>
    <row r="11" spans="2:12">
      <c r="B11" t="s">
        <v>5</v>
      </c>
      <c r="C11" t="s">
        <v>6</v>
      </c>
      <c r="D11" s="7">
        <v>93</v>
      </c>
      <c r="E11" s="1">
        <f t="shared" si="0"/>
        <v>0</v>
      </c>
      <c r="F11" s="4">
        <f t="shared" si="1"/>
        <v>93</v>
      </c>
      <c r="I11" t="s">
        <v>15</v>
      </c>
      <c r="J11" s="6">
        <v>488.20000000000005</v>
      </c>
      <c r="K11" s="6">
        <v>629.69999999999993</v>
      </c>
      <c r="L11" s="6">
        <v>1117.9000000000001</v>
      </c>
    </row>
    <row r="12" spans="2:12">
      <c r="B12" t="s">
        <v>5</v>
      </c>
      <c r="C12" t="s">
        <v>9</v>
      </c>
      <c r="D12" s="7">
        <v>118</v>
      </c>
      <c r="E12" s="1">
        <f t="shared" si="0"/>
        <v>0.1</v>
      </c>
      <c r="F12" s="4">
        <f t="shared" si="1"/>
        <v>106.2</v>
      </c>
      <c r="H12" t="s">
        <v>7</v>
      </c>
      <c r="I12" t="s">
        <v>12</v>
      </c>
      <c r="J12" s="6">
        <v>283</v>
      </c>
      <c r="K12" s="6">
        <v>213</v>
      </c>
      <c r="L12" s="6">
        <v>496</v>
      </c>
    </row>
    <row r="13" spans="2:12">
      <c r="B13" t="s">
        <v>10</v>
      </c>
      <c r="C13" t="s">
        <v>6</v>
      </c>
      <c r="D13" s="7">
        <v>105</v>
      </c>
      <c r="E13" s="1">
        <f t="shared" si="0"/>
        <v>0.1</v>
      </c>
      <c r="F13" s="4">
        <f t="shared" si="1"/>
        <v>94.5</v>
      </c>
      <c r="I13" t="s">
        <v>15</v>
      </c>
      <c r="J13" s="6">
        <v>262.20000000000005</v>
      </c>
      <c r="K13" s="6">
        <v>200.8</v>
      </c>
      <c r="L13" s="6">
        <v>463.00000000000006</v>
      </c>
    </row>
    <row r="14" spans="2:12">
      <c r="B14" t="s">
        <v>8</v>
      </c>
      <c r="C14" t="s">
        <v>6</v>
      </c>
      <c r="D14" s="7">
        <v>121</v>
      </c>
      <c r="E14" s="1">
        <f t="shared" si="0"/>
        <v>0.1</v>
      </c>
      <c r="F14" s="4">
        <f t="shared" si="1"/>
        <v>108.9</v>
      </c>
      <c r="H14" t="s">
        <v>13</v>
      </c>
      <c r="J14" s="6">
        <v>2099</v>
      </c>
      <c r="K14" s="6">
        <v>1949</v>
      </c>
      <c r="L14" s="6">
        <v>4048</v>
      </c>
    </row>
    <row r="15" spans="2:12">
      <c r="B15" t="s">
        <v>7</v>
      </c>
      <c r="C15" t="s">
        <v>6</v>
      </c>
      <c r="D15" s="7">
        <v>91</v>
      </c>
      <c r="E15" s="1">
        <f t="shared" si="0"/>
        <v>0</v>
      </c>
      <c r="F15" s="4">
        <f t="shared" si="1"/>
        <v>91</v>
      </c>
      <c r="H15" t="s">
        <v>16</v>
      </c>
      <c r="J15" s="6">
        <v>1965</v>
      </c>
      <c r="K15" s="6">
        <v>1824.8999999999999</v>
      </c>
      <c r="L15" s="6">
        <v>3789.9</v>
      </c>
    </row>
    <row r="16" spans="2:12">
      <c r="B16" t="s">
        <v>10</v>
      </c>
      <c r="C16" t="s">
        <v>9</v>
      </c>
      <c r="D16" s="7">
        <v>121</v>
      </c>
      <c r="E16" s="1">
        <f t="shared" si="0"/>
        <v>0.1</v>
      </c>
      <c r="F16" s="4">
        <f t="shared" si="1"/>
        <v>108.9</v>
      </c>
    </row>
    <row r="17" spans="2:6">
      <c r="B17" t="s">
        <v>8</v>
      </c>
      <c r="C17" t="s">
        <v>9</v>
      </c>
      <c r="D17" s="7">
        <v>89</v>
      </c>
      <c r="E17" s="1">
        <f t="shared" si="0"/>
        <v>0</v>
      </c>
      <c r="F17" s="4">
        <f t="shared" si="1"/>
        <v>89</v>
      </c>
    </row>
    <row r="18" spans="2:6">
      <c r="B18" t="s">
        <v>8</v>
      </c>
      <c r="C18" t="s">
        <v>6</v>
      </c>
      <c r="D18" s="7">
        <v>112</v>
      </c>
      <c r="E18" s="1">
        <f t="shared" si="0"/>
        <v>0.1</v>
      </c>
      <c r="F18" s="4">
        <f t="shared" si="1"/>
        <v>100.8</v>
      </c>
    </row>
    <row r="19" spans="2:6">
      <c r="B19" t="s">
        <v>5</v>
      </c>
      <c r="C19" t="s">
        <v>6</v>
      </c>
      <c r="D19" s="7">
        <v>92</v>
      </c>
      <c r="E19" s="1">
        <f t="shared" si="0"/>
        <v>0</v>
      </c>
      <c r="F19" s="4">
        <f t="shared" si="1"/>
        <v>92</v>
      </c>
    </row>
    <row r="20" spans="2:6">
      <c r="B20" t="s">
        <v>8</v>
      </c>
      <c r="C20" t="s">
        <v>6</v>
      </c>
      <c r="D20" s="7">
        <v>95</v>
      </c>
      <c r="E20" s="1">
        <f t="shared" si="0"/>
        <v>0</v>
      </c>
      <c r="F20" s="4">
        <f t="shared" si="1"/>
        <v>95</v>
      </c>
    </row>
    <row r="21" spans="2:6">
      <c r="B21" t="s">
        <v>10</v>
      </c>
      <c r="C21" t="s">
        <v>6</v>
      </c>
      <c r="D21" s="7">
        <v>93</v>
      </c>
      <c r="E21" s="1">
        <f t="shared" si="0"/>
        <v>0</v>
      </c>
      <c r="F21" s="4">
        <f t="shared" si="1"/>
        <v>93</v>
      </c>
    </row>
    <row r="22" spans="2:6">
      <c r="B22" t="s">
        <v>5</v>
      </c>
      <c r="C22" t="s">
        <v>6</v>
      </c>
      <c r="D22" s="7">
        <v>79</v>
      </c>
      <c r="E22" s="1">
        <f t="shared" si="0"/>
        <v>0</v>
      </c>
      <c r="F22" s="4">
        <f t="shared" si="1"/>
        <v>79</v>
      </c>
    </row>
    <row r="23" spans="2:6">
      <c r="B23" t="s">
        <v>8</v>
      </c>
      <c r="C23" t="s">
        <v>9</v>
      </c>
      <c r="D23" s="7">
        <v>111</v>
      </c>
      <c r="E23" s="1">
        <f t="shared" si="0"/>
        <v>0.1</v>
      </c>
      <c r="F23" s="4">
        <f t="shared" si="1"/>
        <v>99.9</v>
      </c>
    </row>
    <row r="24" spans="2:6">
      <c r="B24" t="s">
        <v>10</v>
      </c>
      <c r="C24" t="s">
        <v>9</v>
      </c>
      <c r="D24" s="7">
        <v>92</v>
      </c>
      <c r="E24" s="1">
        <f t="shared" si="0"/>
        <v>0</v>
      </c>
      <c r="F24" s="4">
        <f t="shared" si="1"/>
        <v>92</v>
      </c>
    </row>
    <row r="25" spans="2:6">
      <c r="B25" t="s">
        <v>5</v>
      </c>
      <c r="C25" t="s">
        <v>6</v>
      </c>
      <c r="D25" s="7">
        <v>83</v>
      </c>
      <c r="E25" s="1">
        <f t="shared" si="0"/>
        <v>0</v>
      </c>
      <c r="F25" s="4">
        <f t="shared" si="1"/>
        <v>83</v>
      </c>
    </row>
    <row r="26" spans="2:6">
      <c r="B26" t="s">
        <v>10</v>
      </c>
      <c r="C26" t="s">
        <v>6</v>
      </c>
      <c r="D26" s="7">
        <v>102</v>
      </c>
      <c r="E26" s="1">
        <f t="shared" si="0"/>
        <v>0.1</v>
      </c>
      <c r="F26" s="4">
        <f t="shared" si="1"/>
        <v>91.8</v>
      </c>
    </row>
    <row r="27" spans="2:6">
      <c r="B27" t="s">
        <v>8</v>
      </c>
      <c r="C27" t="s">
        <v>9</v>
      </c>
      <c r="D27" s="7">
        <v>83</v>
      </c>
      <c r="E27" s="1">
        <f t="shared" si="0"/>
        <v>0</v>
      </c>
      <c r="F27" s="4">
        <f t="shared" si="1"/>
        <v>83</v>
      </c>
    </row>
    <row r="28" spans="2:6">
      <c r="B28" t="s">
        <v>8</v>
      </c>
      <c r="C28" t="s">
        <v>9</v>
      </c>
      <c r="D28" s="7">
        <v>109</v>
      </c>
      <c r="E28" s="1">
        <f t="shared" si="0"/>
        <v>0.1</v>
      </c>
      <c r="F28" s="4">
        <f t="shared" si="1"/>
        <v>98.100000000000009</v>
      </c>
    </row>
    <row r="29" spans="2:6">
      <c r="B29" t="s">
        <v>10</v>
      </c>
      <c r="C29" t="s">
        <v>9</v>
      </c>
      <c r="D29" s="7">
        <v>84</v>
      </c>
      <c r="E29" s="1">
        <f t="shared" si="0"/>
        <v>0</v>
      </c>
      <c r="F29" s="4">
        <f t="shared" si="1"/>
        <v>84</v>
      </c>
    </row>
    <row r="30" spans="2:6">
      <c r="B30" t="s">
        <v>10</v>
      </c>
      <c r="C30" t="s">
        <v>9</v>
      </c>
      <c r="D30" s="7">
        <v>104</v>
      </c>
      <c r="E30" s="1">
        <f t="shared" si="0"/>
        <v>0.1</v>
      </c>
      <c r="F30" s="4">
        <f t="shared" si="1"/>
        <v>93.600000000000009</v>
      </c>
    </row>
    <row r="31" spans="2:6">
      <c r="B31" t="s">
        <v>10</v>
      </c>
      <c r="C31" t="s">
        <v>6</v>
      </c>
      <c r="D31" s="7">
        <v>110</v>
      </c>
      <c r="E31" s="1">
        <f t="shared" si="0"/>
        <v>0.1</v>
      </c>
      <c r="F31" s="4">
        <f t="shared" si="1"/>
        <v>99</v>
      </c>
    </row>
    <row r="32" spans="2:6">
      <c r="B32" t="s">
        <v>5</v>
      </c>
      <c r="C32" t="s">
        <v>9</v>
      </c>
      <c r="D32" s="7">
        <v>124</v>
      </c>
      <c r="E32" s="1">
        <f t="shared" si="0"/>
        <v>0.1</v>
      </c>
      <c r="F32" s="4">
        <f t="shared" si="1"/>
        <v>111.60000000000001</v>
      </c>
    </row>
    <row r="33" spans="2:6">
      <c r="B33" t="s">
        <v>8</v>
      </c>
      <c r="C33" t="s">
        <v>9</v>
      </c>
      <c r="D33" s="7">
        <v>125</v>
      </c>
      <c r="E33" s="1">
        <f t="shared" si="0"/>
        <v>0.1</v>
      </c>
      <c r="F33" s="4">
        <f t="shared" si="1"/>
        <v>112.5</v>
      </c>
    </row>
    <row r="34" spans="2:6">
      <c r="B34" t="s">
        <v>5</v>
      </c>
      <c r="C34" t="s">
        <v>9</v>
      </c>
      <c r="D34" s="7">
        <v>76</v>
      </c>
      <c r="E34" s="1">
        <f t="shared" si="0"/>
        <v>0</v>
      </c>
      <c r="F34" s="4">
        <f t="shared" si="1"/>
        <v>76</v>
      </c>
    </row>
    <row r="35" spans="2:6">
      <c r="B35" t="s">
        <v>10</v>
      </c>
      <c r="C35" t="s">
        <v>9</v>
      </c>
      <c r="D35" s="7">
        <v>104</v>
      </c>
      <c r="E35" s="1">
        <f t="shared" si="0"/>
        <v>0.1</v>
      </c>
      <c r="F35" s="4">
        <f t="shared" si="1"/>
        <v>93.600000000000009</v>
      </c>
    </row>
    <row r="36" spans="2:6">
      <c r="B36" t="s">
        <v>10</v>
      </c>
      <c r="C36" t="s">
        <v>6</v>
      </c>
      <c r="D36" s="7">
        <v>103</v>
      </c>
      <c r="E36" s="1">
        <f t="shared" si="0"/>
        <v>0.1</v>
      </c>
      <c r="F36" s="4">
        <f t="shared" si="1"/>
        <v>92.7</v>
      </c>
    </row>
    <row r="37" spans="2:6">
      <c r="B37" t="s">
        <v>8</v>
      </c>
      <c r="C37" t="s">
        <v>9</v>
      </c>
      <c r="D37" s="7">
        <v>79</v>
      </c>
      <c r="E37" s="1">
        <f t="shared" si="0"/>
        <v>0</v>
      </c>
      <c r="F37" s="4">
        <f t="shared" si="1"/>
        <v>79</v>
      </c>
    </row>
    <row r="38" spans="2:6">
      <c r="B38" t="s">
        <v>7</v>
      </c>
      <c r="C38" t="s">
        <v>9</v>
      </c>
      <c r="D38" s="7">
        <v>75</v>
      </c>
      <c r="E38" s="1">
        <f t="shared" si="0"/>
        <v>0</v>
      </c>
      <c r="F38" s="4">
        <f t="shared" si="1"/>
        <v>75</v>
      </c>
    </row>
    <row r="39" spans="2:6">
      <c r="B39" t="s">
        <v>5</v>
      </c>
      <c r="C39" t="s">
        <v>6</v>
      </c>
      <c r="D39" s="7">
        <v>117</v>
      </c>
      <c r="E39" s="1">
        <f t="shared" si="0"/>
        <v>0.1</v>
      </c>
      <c r="F39" s="4">
        <f t="shared" si="1"/>
        <v>105.3</v>
      </c>
    </row>
    <row r="40" spans="2:6">
      <c r="B40" t="s">
        <v>7</v>
      </c>
      <c r="C40" t="s">
        <v>9</v>
      </c>
      <c r="D40" s="7">
        <v>106</v>
      </c>
      <c r="E40" s="1">
        <f t="shared" si="0"/>
        <v>0.1</v>
      </c>
      <c r="F40" s="4">
        <f t="shared" si="1"/>
        <v>95.4</v>
      </c>
    </row>
    <row r="41" spans="2:6">
      <c r="B41" t="s">
        <v>8</v>
      </c>
      <c r="C41" t="s">
        <v>9</v>
      </c>
      <c r="D41" s="7">
        <v>81</v>
      </c>
      <c r="E41" s="1">
        <f t="shared" si="0"/>
        <v>0</v>
      </c>
      <c r="F41" s="4">
        <f t="shared" si="1"/>
        <v>81</v>
      </c>
    </row>
    <row r="42" spans="2:6">
      <c r="B42" t="s">
        <v>5</v>
      </c>
      <c r="C42" t="s">
        <v>6</v>
      </c>
      <c r="D42" s="7">
        <v>82</v>
      </c>
      <c r="E42" s="1">
        <f t="shared" si="0"/>
        <v>0</v>
      </c>
      <c r="F42" s="4">
        <f t="shared" si="1"/>
        <v>82</v>
      </c>
    </row>
  </sheetData>
  <pageMargins left="0.7" right="0.7" top="0.75" bottom="0.75" header="0.3" footer="0.3"/>
  <pageSetup paperSize="9"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2"/>
  <sheetViews>
    <sheetView workbookViewId="0"/>
  </sheetViews>
  <sheetFormatPr baseColWidth="10" defaultColWidth="8.83203125" defaultRowHeight="12" x14ac:dyDescent="0"/>
  <cols>
    <col min="1" max="1" width="3.33203125" customWidth="1"/>
    <col min="2" max="2" width="11.5" bestFit="1" customWidth="1"/>
    <col min="3" max="3" width="8.5" bestFit="1" customWidth="1"/>
    <col min="4" max="4" width="9.83203125" bestFit="1" customWidth="1"/>
    <col min="5" max="5" width="11.33203125" bestFit="1" customWidth="1"/>
    <col min="6" max="6" width="14" bestFit="1" customWidth="1"/>
    <col min="7" max="7" width="4.33203125" customWidth="1"/>
    <col min="8" max="8" width="33.1640625" bestFit="1" customWidth="1"/>
    <col min="9" max="9" width="22.6640625" customWidth="1"/>
    <col min="10" max="11" width="8.6640625" customWidth="1"/>
    <col min="12" max="12" width="9.33203125" customWidth="1"/>
    <col min="13" max="13" width="22.83203125" bestFit="1" customWidth="1"/>
    <col min="14" max="14" width="36" bestFit="1" customWidth="1"/>
  </cols>
  <sheetData>
    <row r="2" spans="2:12" s="2" customFormat="1" ht="24">
      <c r="B2" s="2" t="s">
        <v>0</v>
      </c>
      <c r="C2" s="2" t="s">
        <v>1</v>
      </c>
      <c r="D2" s="2" t="s">
        <v>2</v>
      </c>
      <c r="E2" s="2" t="s">
        <v>3</v>
      </c>
      <c r="F2" s="3" t="s">
        <v>4</v>
      </c>
    </row>
    <row r="3" spans="2:12">
      <c r="B3" t="s">
        <v>5</v>
      </c>
      <c r="C3" t="s">
        <v>6</v>
      </c>
      <c r="D3" s="7">
        <v>106</v>
      </c>
      <c r="E3" s="1">
        <f>IF(tblKwRegio[[#This Row],[Bedrag]]&gt;100,10%,0)</f>
        <v>0.1</v>
      </c>
      <c r="F3" s="4">
        <f>tblKwRegio[[#This Row],[Bedrag]]*(1-tblKwRegio[[#This Row],[Korting%]])</f>
        <v>95.4</v>
      </c>
    </row>
    <row r="4" spans="2:12">
      <c r="B4" t="s">
        <v>7</v>
      </c>
      <c r="C4" t="s">
        <v>6</v>
      </c>
      <c r="D4" s="7">
        <v>122</v>
      </c>
      <c r="E4" s="1">
        <f>IF(tblKwRegio[[#This Row],[Bedrag]]&gt;100,10%,0)</f>
        <v>0.1</v>
      </c>
      <c r="F4" s="4">
        <f>tblKwRegio[[#This Row],[Bedrag]]*(1-tblKwRegio[[#This Row],[Korting%]])</f>
        <v>109.8</v>
      </c>
      <c r="J4" s="5" t="s">
        <v>1</v>
      </c>
    </row>
    <row r="5" spans="2:12">
      <c r="B5" t="s">
        <v>8</v>
      </c>
      <c r="C5" t="s">
        <v>6</v>
      </c>
      <c r="D5" s="7">
        <v>118</v>
      </c>
      <c r="E5" s="1">
        <f>IF(tblKwRegio[[#This Row],[Bedrag]]&gt;100,10%,0)</f>
        <v>0.1</v>
      </c>
      <c r="F5" s="4">
        <f>tblKwRegio[[#This Row],[Bedrag]]*(1-tblKwRegio[[#This Row],[Korting%]])</f>
        <v>106.2</v>
      </c>
      <c r="H5" s="5" t="s">
        <v>0</v>
      </c>
      <c r="I5" s="5" t="s">
        <v>14</v>
      </c>
      <c r="J5" t="s">
        <v>9</v>
      </c>
      <c r="K5" t="s">
        <v>6</v>
      </c>
      <c r="L5" t="s">
        <v>11</v>
      </c>
    </row>
    <row r="6" spans="2:12">
      <c r="B6" t="s">
        <v>7</v>
      </c>
      <c r="C6" t="s">
        <v>9</v>
      </c>
      <c r="D6" s="7">
        <v>102</v>
      </c>
      <c r="E6" s="1">
        <f>IF(tblKwRegio[[#This Row],[Bedrag]]&gt;100,10%,0)</f>
        <v>0.1</v>
      </c>
      <c r="F6" s="4">
        <f>tblKwRegio[[#This Row],[Bedrag]]*(1-tblKwRegio[[#This Row],[Korting%]])</f>
        <v>91.8</v>
      </c>
      <c r="H6" t="s">
        <v>8</v>
      </c>
      <c r="I6" t="s">
        <v>12</v>
      </c>
      <c r="J6" s="6">
        <v>677</v>
      </c>
      <c r="K6" s="6">
        <v>446</v>
      </c>
      <c r="L6" s="6">
        <v>1123</v>
      </c>
    </row>
    <row r="7" spans="2:12">
      <c r="B7" t="s">
        <v>5</v>
      </c>
      <c r="C7" t="s">
        <v>9</v>
      </c>
      <c r="D7" s="7">
        <v>112</v>
      </c>
      <c r="E7" s="1">
        <f>IF(tblKwRegio[[#This Row],[Bedrag]]&gt;100,10%,0)</f>
        <v>0.1</v>
      </c>
      <c r="F7" s="4">
        <f>tblKwRegio[[#This Row],[Bedrag]]*(1-tblKwRegio[[#This Row],[Korting%]])</f>
        <v>100.8</v>
      </c>
      <c r="I7" t="s">
        <v>15</v>
      </c>
      <c r="J7" s="6">
        <v>642.5</v>
      </c>
      <c r="K7" s="6">
        <v>410.90000000000003</v>
      </c>
      <c r="L7" s="6">
        <v>1053.4000000000001</v>
      </c>
    </row>
    <row r="8" spans="2:12">
      <c r="B8" t="s">
        <v>5</v>
      </c>
      <c r="C8" t="s">
        <v>9</v>
      </c>
      <c r="D8" s="7">
        <v>104</v>
      </c>
      <c r="E8" s="1">
        <f>IF(tblKwRegio[[#This Row],[Bedrag]]&gt;100,10%,0)</f>
        <v>0.1</v>
      </c>
      <c r="F8" s="4">
        <f>tblKwRegio[[#This Row],[Bedrag]]*(1-tblKwRegio[[#This Row],[Korting%]])</f>
        <v>93.600000000000009</v>
      </c>
      <c r="H8" t="s">
        <v>10</v>
      </c>
      <c r="I8" t="s">
        <v>12</v>
      </c>
      <c r="J8" s="6">
        <v>605</v>
      </c>
      <c r="K8" s="6">
        <v>638</v>
      </c>
      <c r="L8" s="6">
        <v>1243</v>
      </c>
    </row>
    <row r="9" spans="2:12">
      <c r="B9" t="s">
        <v>10</v>
      </c>
      <c r="C9" t="s">
        <v>9</v>
      </c>
      <c r="D9" s="7">
        <v>100</v>
      </c>
      <c r="E9" s="1">
        <f>IF(tblKwRegio[[#This Row],[Bedrag]]&gt;100,10%,0)</f>
        <v>0</v>
      </c>
      <c r="F9" s="4">
        <f>tblKwRegio[[#This Row],[Bedrag]]*(1-tblKwRegio[[#This Row],[Korting%]])</f>
        <v>100</v>
      </c>
      <c r="I9" t="s">
        <v>15</v>
      </c>
      <c r="J9" s="6">
        <v>572.1</v>
      </c>
      <c r="K9" s="6">
        <v>583.5</v>
      </c>
      <c r="L9" s="6">
        <v>1155.5999999999999</v>
      </c>
    </row>
    <row r="10" spans="2:12">
      <c r="B10" t="s">
        <v>10</v>
      </c>
      <c r="C10" t="s">
        <v>6</v>
      </c>
      <c r="D10" s="7">
        <v>125</v>
      </c>
      <c r="E10" s="1">
        <f>IF(tblKwRegio[[#This Row],[Bedrag]]&gt;100,10%,0)</f>
        <v>0.1</v>
      </c>
      <c r="F10" s="4">
        <f>tblKwRegio[[#This Row],[Bedrag]]*(1-tblKwRegio[[#This Row],[Korting%]])</f>
        <v>112.5</v>
      </c>
      <c r="H10" t="s">
        <v>5</v>
      </c>
      <c r="I10" t="s">
        <v>12</v>
      </c>
      <c r="J10" s="6">
        <v>534</v>
      </c>
      <c r="K10" s="6">
        <v>652</v>
      </c>
      <c r="L10" s="6">
        <v>1186</v>
      </c>
    </row>
    <row r="11" spans="2:12">
      <c r="B11" t="s">
        <v>5</v>
      </c>
      <c r="C11" t="s">
        <v>6</v>
      </c>
      <c r="D11" s="7">
        <v>93</v>
      </c>
      <c r="E11" s="1">
        <f>IF(tblKwRegio[[#This Row],[Bedrag]]&gt;100,10%,0)</f>
        <v>0</v>
      </c>
      <c r="F11" s="4">
        <f>tblKwRegio[[#This Row],[Bedrag]]*(1-tblKwRegio[[#This Row],[Korting%]])</f>
        <v>93</v>
      </c>
      <c r="I11" t="s">
        <v>15</v>
      </c>
      <c r="J11" s="6">
        <v>488.20000000000005</v>
      </c>
      <c r="K11" s="6">
        <v>629.69999999999993</v>
      </c>
      <c r="L11" s="6">
        <v>1117.9000000000001</v>
      </c>
    </row>
    <row r="12" spans="2:12">
      <c r="B12" t="s">
        <v>5</v>
      </c>
      <c r="C12" t="s">
        <v>9</v>
      </c>
      <c r="D12" s="7">
        <v>118</v>
      </c>
      <c r="E12" s="1">
        <f>IF(tblKwRegio[[#This Row],[Bedrag]]&gt;100,10%,0)</f>
        <v>0.1</v>
      </c>
      <c r="F12" s="4">
        <f>tblKwRegio[[#This Row],[Bedrag]]*(1-tblKwRegio[[#This Row],[Korting%]])</f>
        <v>106.2</v>
      </c>
      <c r="H12" t="s">
        <v>7</v>
      </c>
      <c r="I12" t="s">
        <v>12</v>
      </c>
      <c r="J12" s="6">
        <v>283</v>
      </c>
      <c r="K12" s="6">
        <v>213</v>
      </c>
      <c r="L12" s="6">
        <v>496</v>
      </c>
    </row>
    <row r="13" spans="2:12">
      <c r="B13" t="s">
        <v>10</v>
      </c>
      <c r="C13" t="s">
        <v>6</v>
      </c>
      <c r="D13" s="7">
        <v>105</v>
      </c>
      <c r="E13" s="1">
        <f>IF(tblKwRegio[[#This Row],[Bedrag]]&gt;100,10%,0)</f>
        <v>0.1</v>
      </c>
      <c r="F13" s="4">
        <f>tblKwRegio[[#This Row],[Bedrag]]*(1-tblKwRegio[[#This Row],[Korting%]])</f>
        <v>94.5</v>
      </c>
      <c r="I13" t="s">
        <v>15</v>
      </c>
      <c r="J13" s="6">
        <v>262.20000000000005</v>
      </c>
      <c r="K13" s="6">
        <v>200.8</v>
      </c>
      <c r="L13" s="6">
        <v>463.00000000000006</v>
      </c>
    </row>
    <row r="14" spans="2:12">
      <c r="B14" t="s">
        <v>8</v>
      </c>
      <c r="C14" t="s">
        <v>6</v>
      </c>
      <c r="D14" s="7">
        <v>121</v>
      </c>
      <c r="E14" s="1">
        <f>IF(tblKwRegio[[#This Row],[Bedrag]]&gt;100,10%,0)</f>
        <v>0.1</v>
      </c>
      <c r="F14" s="4">
        <f>tblKwRegio[[#This Row],[Bedrag]]*(1-tblKwRegio[[#This Row],[Korting%]])</f>
        <v>108.9</v>
      </c>
      <c r="H14" t="s">
        <v>24</v>
      </c>
      <c r="J14" s="6">
        <v>2099</v>
      </c>
      <c r="K14" s="6">
        <v>1949</v>
      </c>
      <c r="L14" s="6">
        <v>4048</v>
      </c>
    </row>
    <row r="15" spans="2:12">
      <c r="B15" t="s">
        <v>7</v>
      </c>
      <c r="C15" t="s">
        <v>6</v>
      </c>
      <c r="D15" s="7">
        <v>91</v>
      </c>
      <c r="E15" s="1">
        <f>IF(tblKwRegio[[#This Row],[Bedrag]]&gt;100,10%,0)</f>
        <v>0</v>
      </c>
      <c r="F15" s="4">
        <f>tblKwRegio[[#This Row],[Bedrag]]*(1-tblKwRegio[[#This Row],[Korting%]])</f>
        <v>91</v>
      </c>
      <c r="H15" t="s">
        <v>25</v>
      </c>
      <c r="J15" s="6">
        <v>1965</v>
      </c>
      <c r="K15" s="6">
        <v>1824.8999999999999</v>
      </c>
      <c r="L15" s="6">
        <v>3789.9</v>
      </c>
    </row>
    <row r="16" spans="2:12">
      <c r="B16" t="s">
        <v>10</v>
      </c>
      <c r="C16" t="s">
        <v>9</v>
      </c>
      <c r="D16" s="7">
        <v>121</v>
      </c>
      <c r="E16" s="1">
        <f>IF(tblKwRegio[[#This Row],[Bedrag]]&gt;100,10%,0)</f>
        <v>0.1</v>
      </c>
      <c r="F16" s="4">
        <f>tblKwRegio[[#This Row],[Bedrag]]*(1-tblKwRegio[[#This Row],[Korting%]])</f>
        <v>108.9</v>
      </c>
    </row>
    <row r="17" spans="2:6">
      <c r="B17" t="s">
        <v>8</v>
      </c>
      <c r="C17" t="s">
        <v>9</v>
      </c>
      <c r="D17" s="7">
        <v>89</v>
      </c>
      <c r="E17" s="1">
        <f>IF(tblKwRegio[[#This Row],[Bedrag]]&gt;100,10%,0)</f>
        <v>0</v>
      </c>
      <c r="F17" s="4">
        <f>tblKwRegio[[#This Row],[Bedrag]]*(1-tblKwRegio[[#This Row],[Korting%]])</f>
        <v>89</v>
      </c>
    </row>
    <row r="18" spans="2:6">
      <c r="B18" t="s">
        <v>8</v>
      </c>
      <c r="C18" t="s">
        <v>6</v>
      </c>
      <c r="D18" s="7">
        <v>112</v>
      </c>
      <c r="E18" s="1">
        <f>IF(tblKwRegio[[#This Row],[Bedrag]]&gt;100,10%,0)</f>
        <v>0.1</v>
      </c>
      <c r="F18" s="4">
        <f>tblKwRegio[[#This Row],[Bedrag]]*(1-tblKwRegio[[#This Row],[Korting%]])</f>
        <v>100.8</v>
      </c>
    </row>
    <row r="19" spans="2:6">
      <c r="B19" t="s">
        <v>5</v>
      </c>
      <c r="C19" t="s">
        <v>6</v>
      </c>
      <c r="D19" s="7">
        <v>92</v>
      </c>
      <c r="E19" s="1">
        <f>IF(tblKwRegio[[#This Row],[Bedrag]]&gt;100,10%,0)</f>
        <v>0</v>
      </c>
      <c r="F19" s="4">
        <f>tblKwRegio[[#This Row],[Bedrag]]*(1-tblKwRegio[[#This Row],[Korting%]])</f>
        <v>92</v>
      </c>
    </row>
    <row r="20" spans="2:6">
      <c r="B20" t="s">
        <v>8</v>
      </c>
      <c r="C20" t="s">
        <v>6</v>
      </c>
      <c r="D20" s="7">
        <v>95</v>
      </c>
      <c r="E20" s="1">
        <f>IF(tblKwRegio[[#This Row],[Bedrag]]&gt;100,10%,0)</f>
        <v>0</v>
      </c>
      <c r="F20" s="4">
        <f>tblKwRegio[[#This Row],[Bedrag]]*(1-tblKwRegio[[#This Row],[Korting%]])</f>
        <v>95</v>
      </c>
    </row>
    <row r="21" spans="2:6">
      <c r="B21" t="s">
        <v>10</v>
      </c>
      <c r="C21" t="s">
        <v>6</v>
      </c>
      <c r="D21" s="7">
        <v>93</v>
      </c>
      <c r="E21" s="1">
        <f>IF(tblKwRegio[[#This Row],[Bedrag]]&gt;100,10%,0)</f>
        <v>0</v>
      </c>
      <c r="F21" s="4">
        <f>tblKwRegio[[#This Row],[Bedrag]]*(1-tblKwRegio[[#This Row],[Korting%]])</f>
        <v>93</v>
      </c>
    </row>
    <row r="22" spans="2:6">
      <c r="B22" t="s">
        <v>5</v>
      </c>
      <c r="C22" t="s">
        <v>6</v>
      </c>
      <c r="D22" s="7">
        <v>79</v>
      </c>
      <c r="E22" s="1">
        <f>IF(tblKwRegio[[#This Row],[Bedrag]]&gt;100,10%,0)</f>
        <v>0</v>
      </c>
      <c r="F22" s="4">
        <f>tblKwRegio[[#This Row],[Bedrag]]*(1-tblKwRegio[[#This Row],[Korting%]])</f>
        <v>79</v>
      </c>
    </row>
    <row r="23" spans="2:6">
      <c r="B23" t="s">
        <v>8</v>
      </c>
      <c r="C23" t="s">
        <v>9</v>
      </c>
      <c r="D23" s="7">
        <v>111</v>
      </c>
      <c r="E23" s="1">
        <f>IF(tblKwRegio[[#This Row],[Bedrag]]&gt;100,10%,0)</f>
        <v>0.1</v>
      </c>
      <c r="F23" s="4">
        <f>tblKwRegio[[#This Row],[Bedrag]]*(1-tblKwRegio[[#This Row],[Korting%]])</f>
        <v>99.9</v>
      </c>
    </row>
    <row r="24" spans="2:6">
      <c r="B24" t="s">
        <v>10</v>
      </c>
      <c r="C24" t="s">
        <v>9</v>
      </c>
      <c r="D24" s="7">
        <v>92</v>
      </c>
      <c r="E24" s="1">
        <f>IF(tblKwRegio[[#This Row],[Bedrag]]&gt;100,10%,0)</f>
        <v>0</v>
      </c>
      <c r="F24" s="4">
        <f>tblKwRegio[[#This Row],[Bedrag]]*(1-tblKwRegio[[#This Row],[Korting%]])</f>
        <v>92</v>
      </c>
    </row>
    <row r="25" spans="2:6">
      <c r="B25" t="s">
        <v>5</v>
      </c>
      <c r="C25" t="s">
        <v>6</v>
      </c>
      <c r="D25" s="7">
        <v>83</v>
      </c>
      <c r="E25" s="1">
        <f>IF(tblKwRegio[[#This Row],[Bedrag]]&gt;100,10%,0)</f>
        <v>0</v>
      </c>
      <c r="F25" s="4">
        <f>tblKwRegio[[#This Row],[Bedrag]]*(1-tblKwRegio[[#This Row],[Korting%]])</f>
        <v>83</v>
      </c>
    </row>
    <row r="26" spans="2:6">
      <c r="B26" t="s">
        <v>10</v>
      </c>
      <c r="C26" t="s">
        <v>6</v>
      </c>
      <c r="D26" s="7">
        <v>102</v>
      </c>
      <c r="E26" s="1">
        <f>IF(tblKwRegio[[#This Row],[Bedrag]]&gt;100,10%,0)</f>
        <v>0.1</v>
      </c>
      <c r="F26" s="4">
        <f>tblKwRegio[[#This Row],[Bedrag]]*(1-tblKwRegio[[#This Row],[Korting%]])</f>
        <v>91.8</v>
      </c>
    </row>
    <row r="27" spans="2:6">
      <c r="B27" t="s">
        <v>8</v>
      </c>
      <c r="C27" t="s">
        <v>9</v>
      </c>
      <c r="D27" s="7">
        <v>83</v>
      </c>
      <c r="E27" s="1">
        <f>IF(tblKwRegio[[#This Row],[Bedrag]]&gt;100,10%,0)</f>
        <v>0</v>
      </c>
      <c r="F27" s="4">
        <f>tblKwRegio[[#This Row],[Bedrag]]*(1-tblKwRegio[[#This Row],[Korting%]])</f>
        <v>83</v>
      </c>
    </row>
    <row r="28" spans="2:6">
      <c r="B28" t="s">
        <v>8</v>
      </c>
      <c r="C28" t="s">
        <v>9</v>
      </c>
      <c r="D28" s="7">
        <v>109</v>
      </c>
      <c r="E28" s="1">
        <f>IF(tblKwRegio[[#This Row],[Bedrag]]&gt;100,10%,0)</f>
        <v>0.1</v>
      </c>
      <c r="F28" s="4">
        <f>tblKwRegio[[#This Row],[Bedrag]]*(1-tblKwRegio[[#This Row],[Korting%]])</f>
        <v>98.100000000000009</v>
      </c>
    </row>
    <row r="29" spans="2:6">
      <c r="B29" t="s">
        <v>10</v>
      </c>
      <c r="C29" t="s">
        <v>9</v>
      </c>
      <c r="D29" s="7">
        <v>84</v>
      </c>
      <c r="E29" s="1">
        <f>IF(tblKwRegio[[#This Row],[Bedrag]]&gt;100,10%,0)</f>
        <v>0</v>
      </c>
      <c r="F29" s="4">
        <f>tblKwRegio[[#This Row],[Bedrag]]*(1-tblKwRegio[[#This Row],[Korting%]])</f>
        <v>84</v>
      </c>
    </row>
    <row r="30" spans="2:6">
      <c r="B30" t="s">
        <v>10</v>
      </c>
      <c r="C30" t="s">
        <v>9</v>
      </c>
      <c r="D30" s="7">
        <v>104</v>
      </c>
      <c r="E30" s="1">
        <f>IF(tblKwRegio[[#This Row],[Bedrag]]&gt;100,10%,0)</f>
        <v>0.1</v>
      </c>
      <c r="F30" s="4">
        <f>tblKwRegio[[#This Row],[Bedrag]]*(1-tblKwRegio[[#This Row],[Korting%]])</f>
        <v>93.600000000000009</v>
      </c>
    </row>
    <row r="31" spans="2:6">
      <c r="B31" t="s">
        <v>10</v>
      </c>
      <c r="C31" t="s">
        <v>6</v>
      </c>
      <c r="D31" s="7">
        <v>110</v>
      </c>
      <c r="E31" s="1">
        <f>IF(tblKwRegio[[#This Row],[Bedrag]]&gt;100,10%,0)</f>
        <v>0.1</v>
      </c>
      <c r="F31" s="4">
        <f>tblKwRegio[[#This Row],[Bedrag]]*(1-tblKwRegio[[#This Row],[Korting%]])</f>
        <v>99</v>
      </c>
    </row>
    <row r="32" spans="2:6">
      <c r="B32" t="s">
        <v>5</v>
      </c>
      <c r="C32" t="s">
        <v>9</v>
      </c>
      <c r="D32" s="7">
        <v>124</v>
      </c>
      <c r="E32" s="1">
        <f>IF(tblKwRegio[[#This Row],[Bedrag]]&gt;100,10%,0)</f>
        <v>0.1</v>
      </c>
      <c r="F32" s="4">
        <f>tblKwRegio[[#This Row],[Bedrag]]*(1-tblKwRegio[[#This Row],[Korting%]])</f>
        <v>111.60000000000001</v>
      </c>
    </row>
    <row r="33" spans="2:6">
      <c r="B33" t="s">
        <v>8</v>
      </c>
      <c r="C33" t="s">
        <v>9</v>
      </c>
      <c r="D33" s="7">
        <v>125</v>
      </c>
      <c r="E33" s="1">
        <f>IF(tblKwRegio[[#This Row],[Bedrag]]&gt;100,10%,0)</f>
        <v>0.1</v>
      </c>
      <c r="F33" s="4">
        <f>tblKwRegio[[#This Row],[Bedrag]]*(1-tblKwRegio[[#This Row],[Korting%]])</f>
        <v>112.5</v>
      </c>
    </row>
    <row r="34" spans="2:6">
      <c r="B34" t="s">
        <v>5</v>
      </c>
      <c r="C34" t="s">
        <v>9</v>
      </c>
      <c r="D34" s="7">
        <v>76</v>
      </c>
      <c r="E34" s="1">
        <f>IF(tblKwRegio[[#This Row],[Bedrag]]&gt;100,10%,0)</f>
        <v>0</v>
      </c>
      <c r="F34" s="4">
        <f>tblKwRegio[[#This Row],[Bedrag]]*(1-tblKwRegio[[#This Row],[Korting%]])</f>
        <v>76</v>
      </c>
    </row>
    <row r="35" spans="2:6">
      <c r="B35" t="s">
        <v>10</v>
      </c>
      <c r="C35" t="s">
        <v>9</v>
      </c>
      <c r="D35" s="7">
        <v>104</v>
      </c>
      <c r="E35" s="1">
        <f>IF(tblKwRegio[[#This Row],[Bedrag]]&gt;100,10%,0)</f>
        <v>0.1</v>
      </c>
      <c r="F35" s="4">
        <f>tblKwRegio[[#This Row],[Bedrag]]*(1-tblKwRegio[[#This Row],[Korting%]])</f>
        <v>93.600000000000009</v>
      </c>
    </row>
    <row r="36" spans="2:6">
      <c r="B36" t="s">
        <v>10</v>
      </c>
      <c r="C36" t="s">
        <v>6</v>
      </c>
      <c r="D36" s="7">
        <v>103</v>
      </c>
      <c r="E36" s="1">
        <f>IF(tblKwRegio[[#This Row],[Bedrag]]&gt;100,10%,0)</f>
        <v>0.1</v>
      </c>
      <c r="F36" s="4">
        <f>tblKwRegio[[#This Row],[Bedrag]]*(1-tblKwRegio[[#This Row],[Korting%]])</f>
        <v>92.7</v>
      </c>
    </row>
    <row r="37" spans="2:6">
      <c r="B37" t="s">
        <v>8</v>
      </c>
      <c r="C37" t="s">
        <v>9</v>
      </c>
      <c r="D37" s="7">
        <v>79</v>
      </c>
      <c r="E37" s="1">
        <f>IF(tblKwRegio[[#This Row],[Bedrag]]&gt;100,10%,0)</f>
        <v>0</v>
      </c>
      <c r="F37" s="4">
        <f>tblKwRegio[[#This Row],[Bedrag]]*(1-tblKwRegio[[#This Row],[Korting%]])</f>
        <v>79</v>
      </c>
    </row>
    <row r="38" spans="2:6">
      <c r="B38" t="s">
        <v>7</v>
      </c>
      <c r="C38" t="s">
        <v>9</v>
      </c>
      <c r="D38" s="7">
        <v>75</v>
      </c>
      <c r="E38" s="1">
        <f>IF(tblKwRegio[[#This Row],[Bedrag]]&gt;100,10%,0)</f>
        <v>0</v>
      </c>
      <c r="F38" s="4">
        <f>tblKwRegio[[#This Row],[Bedrag]]*(1-tblKwRegio[[#This Row],[Korting%]])</f>
        <v>75</v>
      </c>
    </row>
    <row r="39" spans="2:6">
      <c r="B39" t="s">
        <v>5</v>
      </c>
      <c r="C39" t="s">
        <v>6</v>
      </c>
      <c r="D39" s="7">
        <v>117</v>
      </c>
      <c r="E39" s="1">
        <f>IF(tblKwRegio[[#This Row],[Bedrag]]&gt;100,10%,0)</f>
        <v>0.1</v>
      </c>
      <c r="F39" s="4">
        <f>tblKwRegio[[#This Row],[Bedrag]]*(1-tblKwRegio[[#This Row],[Korting%]])</f>
        <v>105.3</v>
      </c>
    </row>
    <row r="40" spans="2:6">
      <c r="B40" t="s">
        <v>7</v>
      </c>
      <c r="C40" t="s">
        <v>9</v>
      </c>
      <c r="D40" s="7">
        <v>106</v>
      </c>
      <c r="E40" s="1">
        <f>IF(tblKwRegio[[#This Row],[Bedrag]]&gt;100,10%,0)</f>
        <v>0.1</v>
      </c>
      <c r="F40" s="4">
        <f>tblKwRegio[[#This Row],[Bedrag]]*(1-tblKwRegio[[#This Row],[Korting%]])</f>
        <v>95.4</v>
      </c>
    </row>
    <row r="41" spans="2:6">
      <c r="B41" t="s">
        <v>8</v>
      </c>
      <c r="C41" t="s">
        <v>9</v>
      </c>
      <c r="D41" s="7">
        <v>81</v>
      </c>
      <c r="E41" s="1">
        <f>IF(tblKwRegio[[#This Row],[Bedrag]]&gt;100,10%,0)</f>
        <v>0</v>
      </c>
      <c r="F41" s="4">
        <f>tblKwRegio[[#This Row],[Bedrag]]*(1-tblKwRegio[[#This Row],[Korting%]])</f>
        <v>81</v>
      </c>
    </row>
    <row r="42" spans="2:6">
      <c r="B42" t="s">
        <v>5</v>
      </c>
      <c r="C42" t="s">
        <v>6</v>
      </c>
      <c r="D42" s="7">
        <v>82</v>
      </c>
      <c r="E42" s="1">
        <f>IF(tblKwRegio[[#This Row],[Bedrag]]&gt;100,10%,0)</f>
        <v>0</v>
      </c>
      <c r="F42" s="4">
        <f>tblKwRegio[[#This Row],[Bedrag]]*(1-tblKwRegio[[#This Row],[Korting%]])</f>
        <v>82</v>
      </c>
    </row>
  </sheetData>
  <pageMargins left="0.7" right="0.7" top="0.75" bottom="0.75" header="0.3" footer="0.3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4"/>
  <sheetViews>
    <sheetView workbookViewId="0"/>
  </sheetViews>
  <sheetFormatPr baseColWidth="10" defaultColWidth="8.83203125" defaultRowHeight="12" x14ac:dyDescent="0"/>
  <cols>
    <col min="1" max="1" width="3.33203125" customWidth="1"/>
    <col min="2" max="2" width="11.5" bestFit="1" customWidth="1"/>
    <col min="3" max="3" width="8.5" bestFit="1" customWidth="1"/>
    <col min="4" max="4" width="9.83203125" bestFit="1" customWidth="1"/>
    <col min="5" max="5" width="11.33203125" bestFit="1" customWidth="1"/>
    <col min="6" max="6" width="13.5" bestFit="1" customWidth="1"/>
    <col min="7" max="7" width="3.6640625" customWidth="1"/>
    <col min="8" max="8" width="33.1640625" bestFit="1" customWidth="1"/>
    <col min="9" max="9" width="22.6640625" bestFit="1" customWidth="1"/>
    <col min="10" max="10" width="8.6640625" customWidth="1"/>
    <col min="11" max="11" width="16.1640625" bestFit="1" customWidth="1"/>
    <col min="12" max="12" width="9.33203125" customWidth="1"/>
    <col min="13" max="13" width="22.83203125" bestFit="1" customWidth="1"/>
    <col min="14" max="14" width="36" bestFit="1" customWidth="1"/>
  </cols>
  <sheetData>
    <row r="2" spans="2:12" s="2" customFormat="1" ht="24">
      <c r="B2" s="2" t="s">
        <v>0</v>
      </c>
      <c r="C2" s="2" t="s">
        <v>1</v>
      </c>
      <c r="D2" s="2" t="s">
        <v>2</v>
      </c>
      <c r="E2" s="2" t="s">
        <v>3</v>
      </c>
      <c r="F2" s="3" t="s">
        <v>4</v>
      </c>
    </row>
    <row r="3" spans="2:12">
      <c r="B3" t="s">
        <v>5</v>
      </c>
      <c r="C3" t="s">
        <v>6</v>
      </c>
      <c r="D3" s="7">
        <v>106</v>
      </c>
      <c r="E3" s="1">
        <f>IF(tblKwReg2[[#This Row],[Bedrag]]&gt;100,10%,0)</f>
        <v>0.1</v>
      </c>
      <c r="F3" s="4">
        <f>tblKwReg2[[#This Row],[Bedrag]]*(1-tblKwReg2[[#This Row],[Korting%]])</f>
        <v>95.4</v>
      </c>
    </row>
    <row r="4" spans="2:12">
      <c r="B4" t="s">
        <v>7</v>
      </c>
      <c r="C4" t="s">
        <v>6</v>
      </c>
      <c r="D4" s="7">
        <v>122</v>
      </c>
      <c r="E4" s="1">
        <f>IF(tblKwReg2[[#This Row],[Bedrag]]&gt;100,10%,0)</f>
        <v>0.1</v>
      </c>
      <c r="F4" s="4">
        <f>tblKwReg2[[#This Row],[Bedrag]]*(1-tblKwReg2[[#This Row],[Korting%]])</f>
        <v>109.8</v>
      </c>
      <c r="J4" s="5" t="s">
        <v>1</v>
      </c>
    </row>
    <row r="5" spans="2:12">
      <c r="B5" t="s">
        <v>8</v>
      </c>
      <c r="C5" t="s">
        <v>6</v>
      </c>
      <c r="D5" s="7">
        <v>118</v>
      </c>
      <c r="E5" s="1">
        <f>IF(tblKwReg2[[#This Row],[Bedrag]]&gt;100,10%,0)</f>
        <v>0.1</v>
      </c>
      <c r="F5" s="4">
        <f>tblKwReg2[[#This Row],[Bedrag]]*(1-tblKwReg2[[#This Row],[Korting%]])</f>
        <v>106.2</v>
      </c>
      <c r="H5" s="5" t="s">
        <v>0</v>
      </c>
      <c r="I5" s="5" t="s">
        <v>14</v>
      </c>
      <c r="J5" t="s">
        <v>9</v>
      </c>
      <c r="K5" t="s">
        <v>6</v>
      </c>
      <c r="L5" t="s">
        <v>11</v>
      </c>
    </row>
    <row r="6" spans="2:12">
      <c r="B6" t="s">
        <v>7</v>
      </c>
      <c r="C6" t="s">
        <v>9</v>
      </c>
      <c r="D6" s="7">
        <v>102</v>
      </c>
      <c r="E6" s="1">
        <f>IF(tblKwReg2[[#This Row],[Bedrag]]&gt;100,10%,0)</f>
        <v>0.1</v>
      </c>
      <c r="F6" s="4">
        <f>tblKwReg2[[#This Row],[Bedrag]]*(1-tblKwReg2[[#This Row],[Korting%]])</f>
        <v>91.8</v>
      </c>
      <c r="H6" t="s">
        <v>8</v>
      </c>
      <c r="I6" t="s">
        <v>12</v>
      </c>
      <c r="J6" s="6">
        <v>677</v>
      </c>
      <c r="K6" s="6">
        <v>446</v>
      </c>
      <c r="L6" s="6">
        <v>1123</v>
      </c>
    </row>
    <row r="7" spans="2:12">
      <c r="B7" t="s">
        <v>5</v>
      </c>
      <c r="C7" t="s">
        <v>9</v>
      </c>
      <c r="D7" s="7">
        <v>112</v>
      </c>
      <c r="E7" s="1">
        <f>IF(tblKwReg2[[#This Row],[Bedrag]]&gt;100,10%,0)</f>
        <v>0.1</v>
      </c>
      <c r="F7" s="4">
        <f>tblKwReg2[[#This Row],[Bedrag]]*(1-tblKwReg2[[#This Row],[Korting%]])</f>
        <v>100.8</v>
      </c>
      <c r="I7" t="s">
        <v>15</v>
      </c>
      <c r="J7" s="6">
        <v>642.5</v>
      </c>
      <c r="K7" s="6">
        <v>410.90000000000003</v>
      </c>
      <c r="L7" s="6">
        <v>1053.4000000000001</v>
      </c>
    </row>
    <row r="8" spans="2:12">
      <c r="B8" t="s">
        <v>5</v>
      </c>
      <c r="C8" t="s">
        <v>9</v>
      </c>
      <c r="D8" s="7">
        <v>104</v>
      </c>
      <c r="E8" s="1">
        <f>IF(tblKwReg2[[#This Row],[Bedrag]]&gt;100,10%,0)</f>
        <v>0.1</v>
      </c>
      <c r="F8" s="4">
        <f>tblKwReg2[[#This Row],[Bedrag]]*(1-tblKwReg2[[#This Row],[Korting%]])</f>
        <v>93.600000000000009</v>
      </c>
      <c r="H8" t="s">
        <v>10</v>
      </c>
      <c r="I8" t="s">
        <v>12</v>
      </c>
      <c r="J8" s="6">
        <v>605</v>
      </c>
      <c r="K8" s="6">
        <v>638</v>
      </c>
      <c r="L8" s="6">
        <v>1243</v>
      </c>
    </row>
    <row r="9" spans="2:12">
      <c r="B9" t="s">
        <v>10</v>
      </c>
      <c r="C9" t="s">
        <v>9</v>
      </c>
      <c r="D9" s="7">
        <v>100</v>
      </c>
      <c r="E9" s="1">
        <f>IF(tblKwReg2[[#This Row],[Bedrag]]&gt;100,10%,0)</f>
        <v>0</v>
      </c>
      <c r="F9" s="4">
        <f>tblKwReg2[[#This Row],[Bedrag]]*(1-tblKwReg2[[#This Row],[Korting%]])</f>
        <v>100</v>
      </c>
      <c r="I9" t="s">
        <v>15</v>
      </c>
      <c r="J9" s="6">
        <v>572.1</v>
      </c>
      <c r="K9" s="6">
        <v>583.5</v>
      </c>
      <c r="L9" s="6">
        <v>1155.5999999999999</v>
      </c>
    </row>
    <row r="10" spans="2:12">
      <c r="B10" t="s">
        <v>10</v>
      </c>
      <c r="C10" t="s">
        <v>6</v>
      </c>
      <c r="D10" s="7">
        <v>125</v>
      </c>
      <c r="E10" s="1">
        <f>IF(tblKwReg2[[#This Row],[Bedrag]]&gt;100,10%,0)</f>
        <v>0.1</v>
      </c>
      <c r="F10" s="4">
        <f>tblKwReg2[[#This Row],[Bedrag]]*(1-tblKwReg2[[#This Row],[Korting%]])</f>
        <v>112.5</v>
      </c>
      <c r="H10" t="s">
        <v>5</v>
      </c>
      <c r="I10" t="s">
        <v>12</v>
      </c>
      <c r="J10" s="6">
        <v>534</v>
      </c>
      <c r="K10" s="6">
        <v>652</v>
      </c>
      <c r="L10" s="6">
        <v>1186</v>
      </c>
    </row>
    <row r="11" spans="2:12">
      <c r="B11" t="s">
        <v>5</v>
      </c>
      <c r="C11" t="s">
        <v>6</v>
      </c>
      <c r="D11" s="7">
        <v>93</v>
      </c>
      <c r="E11" s="1">
        <f>IF(tblKwReg2[[#This Row],[Bedrag]]&gt;100,10%,0)</f>
        <v>0</v>
      </c>
      <c r="F11" s="4">
        <f>tblKwReg2[[#This Row],[Bedrag]]*(1-tblKwReg2[[#This Row],[Korting%]])</f>
        <v>93</v>
      </c>
      <c r="I11" t="s">
        <v>15</v>
      </c>
      <c r="J11" s="6">
        <v>488.20000000000005</v>
      </c>
      <c r="K11" s="6">
        <v>629.69999999999993</v>
      </c>
      <c r="L11" s="6">
        <v>1117.9000000000001</v>
      </c>
    </row>
    <row r="12" spans="2:12">
      <c r="B12" t="s">
        <v>5</v>
      </c>
      <c r="C12" t="s">
        <v>9</v>
      </c>
      <c r="D12" s="7">
        <v>118</v>
      </c>
      <c r="E12" s="1">
        <f>IF(tblKwReg2[[#This Row],[Bedrag]]&gt;100,10%,0)</f>
        <v>0.1</v>
      </c>
      <c r="F12" s="4">
        <f>tblKwReg2[[#This Row],[Bedrag]]*(1-tblKwReg2[[#This Row],[Korting%]])</f>
        <v>106.2</v>
      </c>
      <c r="H12" t="s">
        <v>7</v>
      </c>
      <c r="I12" t="s">
        <v>12</v>
      </c>
      <c r="J12" s="6">
        <v>283</v>
      </c>
      <c r="K12" s="6">
        <v>213</v>
      </c>
      <c r="L12" s="6">
        <v>496</v>
      </c>
    </row>
    <row r="13" spans="2:12">
      <c r="B13" t="s">
        <v>10</v>
      </c>
      <c r="C13" t="s">
        <v>6</v>
      </c>
      <c r="D13" s="7">
        <v>105</v>
      </c>
      <c r="E13" s="1">
        <f>IF(tblKwReg2[[#This Row],[Bedrag]]&gt;100,10%,0)</f>
        <v>0.1</v>
      </c>
      <c r="F13" s="4">
        <f>tblKwReg2[[#This Row],[Bedrag]]*(1-tblKwReg2[[#This Row],[Korting%]])</f>
        <v>94.5</v>
      </c>
      <c r="I13" t="s">
        <v>15</v>
      </c>
      <c r="J13" s="6">
        <v>262.20000000000005</v>
      </c>
      <c r="K13" s="6">
        <v>200.8</v>
      </c>
      <c r="L13" s="6">
        <v>463.00000000000006</v>
      </c>
    </row>
    <row r="14" spans="2:12">
      <c r="B14" t="s">
        <v>8</v>
      </c>
      <c r="C14" t="s">
        <v>6</v>
      </c>
      <c r="D14" s="7">
        <v>121</v>
      </c>
      <c r="E14" s="1">
        <f>IF(tblKwReg2[[#This Row],[Bedrag]]&gt;100,10%,0)</f>
        <v>0.1</v>
      </c>
      <c r="F14" s="4">
        <f>tblKwReg2[[#This Row],[Bedrag]]*(1-tblKwReg2[[#This Row],[Korting%]])</f>
        <v>108.9</v>
      </c>
      <c r="H14" t="s">
        <v>24</v>
      </c>
      <c r="J14" s="6">
        <v>2099</v>
      </c>
      <c r="K14" s="6">
        <v>1949</v>
      </c>
      <c r="L14" s="6">
        <v>4048</v>
      </c>
    </row>
    <row r="15" spans="2:12">
      <c r="B15" t="s">
        <v>7</v>
      </c>
      <c r="C15" t="s">
        <v>6</v>
      </c>
      <c r="D15" s="7">
        <v>91</v>
      </c>
      <c r="E15" s="1">
        <f>IF(tblKwReg2[[#This Row],[Bedrag]]&gt;100,10%,0)</f>
        <v>0</v>
      </c>
      <c r="F15" s="4">
        <f>tblKwReg2[[#This Row],[Bedrag]]*(1-tblKwReg2[[#This Row],[Korting%]])</f>
        <v>91</v>
      </c>
      <c r="H15" t="s">
        <v>25</v>
      </c>
      <c r="J15" s="6">
        <v>1965</v>
      </c>
      <c r="K15" s="6">
        <v>1824.8999999999999</v>
      </c>
      <c r="L15" s="6">
        <v>3789.9</v>
      </c>
    </row>
    <row r="16" spans="2:12">
      <c r="B16" t="s">
        <v>10</v>
      </c>
      <c r="C16" t="s">
        <v>9</v>
      </c>
      <c r="D16" s="7">
        <v>121</v>
      </c>
      <c r="E16" s="1">
        <f>IF(tblKwReg2[[#This Row],[Bedrag]]&gt;100,10%,0)</f>
        <v>0.1</v>
      </c>
      <c r="F16" s="4">
        <f>tblKwReg2[[#This Row],[Bedrag]]*(1-tblKwReg2[[#This Row],[Korting%]])</f>
        <v>108.9</v>
      </c>
    </row>
    <row r="17" spans="2:12">
      <c r="B17" t="s">
        <v>8</v>
      </c>
      <c r="C17" t="s">
        <v>9</v>
      </c>
      <c r="D17" s="7">
        <v>89</v>
      </c>
      <c r="E17" s="1">
        <f>IF(tblKwReg2[[#This Row],[Bedrag]]&gt;100,10%,0)</f>
        <v>0</v>
      </c>
      <c r="F17" s="4">
        <f>tblKwReg2[[#This Row],[Bedrag]]*(1-tblKwReg2[[#This Row],[Korting%]])</f>
        <v>89</v>
      </c>
    </row>
    <row r="18" spans="2:12">
      <c r="B18" t="s">
        <v>8</v>
      </c>
      <c r="C18" t="s">
        <v>6</v>
      </c>
      <c r="D18" s="7">
        <v>112</v>
      </c>
      <c r="E18" s="1">
        <f>IF(tblKwReg2[[#This Row],[Bedrag]]&gt;100,10%,0)</f>
        <v>0.1</v>
      </c>
      <c r="F18" s="4">
        <f>tblKwReg2[[#This Row],[Bedrag]]*(1-tblKwReg2[[#This Row],[Korting%]])</f>
        <v>100.8</v>
      </c>
    </row>
    <row r="19" spans="2:12" ht="13" thickBot="1">
      <c r="B19" t="s">
        <v>5</v>
      </c>
      <c r="C19" t="s">
        <v>6</v>
      </c>
      <c r="D19" s="7">
        <v>92</v>
      </c>
      <c r="E19" s="1">
        <f>IF(tblKwReg2[[#This Row],[Bedrag]]&gt;100,10%,0)</f>
        <v>0</v>
      </c>
      <c r="F19" s="4">
        <f>tblKwReg2[[#This Row],[Bedrag]]*(1-tblKwReg2[[#This Row],[Korting%]])</f>
        <v>92</v>
      </c>
    </row>
    <row r="20" spans="2:12">
      <c r="B20" t="s">
        <v>8</v>
      </c>
      <c r="C20" t="s">
        <v>6</v>
      </c>
      <c r="D20" s="7">
        <v>95</v>
      </c>
      <c r="E20" s="1">
        <f>IF(tblKwReg2[[#This Row],[Bedrag]]&gt;100,10%,0)</f>
        <v>0</v>
      </c>
      <c r="F20" s="4">
        <f>tblKwReg2[[#This Row],[Bedrag]]*(1-tblKwReg2[[#This Row],[Korting%]])</f>
        <v>95</v>
      </c>
      <c r="I20" s="21"/>
      <c r="J20" s="19" t="s">
        <v>9</v>
      </c>
      <c r="K20" s="19" t="s">
        <v>6</v>
      </c>
      <c r="L20" s="20" t="s">
        <v>17</v>
      </c>
    </row>
    <row r="21" spans="2:12">
      <c r="B21" t="s">
        <v>10</v>
      </c>
      <c r="C21" t="s">
        <v>6</v>
      </c>
      <c r="D21" s="7">
        <v>93</v>
      </c>
      <c r="E21" s="1">
        <f>IF(tblKwReg2[[#This Row],[Bedrag]]&gt;100,10%,0)</f>
        <v>0</v>
      </c>
      <c r="F21" s="4">
        <f>tblKwReg2[[#This Row],[Bedrag]]*(1-tblKwReg2[[#This Row],[Korting%]])</f>
        <v>93</v>
      </c>
      <c r="I21" s="22" t="s">
        <v>2</v>
      </c>
      <c r="J21" s="14">
        <f>SUMIF(tblKwReg2[Regio],J$20,tblKwReg2[Bedrag])</f>
        <v>2099</v>
      </c>
      <c r="K21" s="14">
        <f>SUMIF(tblKwReg2[Regio],K$20,tblKwReg2[Bedrag])</f>
        <v>1949</v>
      </c>
      <c r="L21" s="15">
        <f>tblKwReg2[[#Totals],[Bedrag]]</f>
        <v>4048</v>
      </c>
    </row>
    <row r="22" spans="2:12" ht="13" thickBot="1">
      <c r="B22" t="s">
        <v>5</v>
      </c>
      <c r="C22" t="s">
        <v>6</v>
      </c>
      <c r="D22" s="7">
        <v>79</v>
      </c>
      <c r="E22" s="1">
        <f>IF(tblKwReg2[[#This Row],[Bedrag]]&gt;100,10%,0)</f>
        <v>0</v>
      </c>
      <c r="F22" s="4">
        <f>tblKwReg2[[#This Row],[Bedrag]]*(1-tblKwReg2[[#This Row],[Korting%]])</f>
        <v>79</v>
      </c>
      <c r="I22" s="23" t="s">
        <v>18</v>
      </c>
      <c r="J22" s="16">
        <f>SUMIF(tblKwReg2[Regio],J$20,tblKwReg2[Bedrag 
incl. korting])</f>
        <v>1964.9999999999998</v>
      </c>
      <c r="K22" s="16">
        <f>SUMIF(tblKwReg2[Regio],K$20,tblKwReg2[Bedrag 
incl. korting])</f>
        <v>1824.8999999999999</v>
      </c>
      <c r="L22" s="17">
        <f>tblKwReg2[[#Totals],[Bedrag 
incl. korting]]</f>
        <v>3789.9</v>
      </c>
    </row>
    <row r="23" spans="2:12">
      <c r="B23" t="s">
        <v>8</v>
      </c>
      <c r="C23" t="s">
        <v>9</v>
      </c>
      <c r="D23" s="7">
        <v>111</v>
      </c>
      <c r="E23" s="1">
        <f>IF(tblKwReg2[[#This Row],[Bedrag]]&gt;100,10%,0)</f>
        <v>0.1</v>
      </c>
      <c r="F23" s="4">
        <f>tblKwReg2[[#This Row],[Bedrag]]*(1-tblKwReg2[[#This Row],[Korting%]])</f>
        <v>99.9</v>
      </c>
    </row>
    <row r="24" spans="2:12">
      <c r="B24" t="s">
        <v>10</v>
      </c>
      <c r="C24" t="s">
        <v>9</v>
      </c>
      <c r="D24" s="7">
        <v>92</v>
      </c>
      <c r="E24" s="1">
        <f>IF(tblKwReg2[[#This Row],[Bedrag]]&gt;100,10%,0)</f>
        <v>0</v>
      </c>
      <c r="F24" s="4">
        <f>tblKwReg2[[#This Row],[Bedrag]]*(1-tblKwReg2[[#This Row],[Korting%]])</f>
        <v>92</v>
      </c>
    </row>
    <row r="25" spans="2:12">
      <c r="B25" t="s">
        <v>5</v>
      </c>
      <c r="C25" t="s">
        <v>6</v>
      </c>
      <c r="D25" s="7">
        <v>83</v>
      </c>
      <c r="E25" s="1">
        <f>IF(tblKwReg2[[#This Row],[Bedrag]]&gt;100,10%,0)</f>
        <v>0</v>
      </c>
      <c r="F25" s="4">
        <f>tblKwReg2[[#This Row],[Bedrag]]*(1-tblKwReg2[[#This Row],[Korting%]])</f>
        <v>83</v>
      </c>
    </row>
    <row r="26" spans="2:12">
      <c r="B26" t="s">
        <v>10</v>
      </c>
      <c r="C26" t="s">
        <v>6</v>
      </c>
      <c r="D26" s="7">
        <v>102</v>
      </c>
      <c r="E26" s="1">
        <f>IF(tblKwReg2[[#This Row],[Bedrag]]&gt;100,10%,0)</f>
        <v>0.1</v>
      </c>
      <c r="F26" s="4">
        <f>tblKwReg2[[#This Row],[Bedrag]]*(1-tblKwReg2[[#This Row],[Korting%]])</f>
        <v>91.8</v>
      </c>
    </row>
    <row r="27" spans="2:12">
      <c r="B27" t="s">
        <v>8</v>
      </c>
      <c r="C27" t="s">
        <v>9</v>
      </c>
      <c r="D27" s="7">
        <v>83</v>
      </c>
      <c r="E27" s="1">
        <f>IF(tblKwReg2[[#This Row],[Bedrag]]&gt;100,10%,0)</f>
        <v>0</v>
      </c>
      <c r="F27" s="4">
        <f>tblKwReg2[[#This Row],[Bedrag]]*(1-tblKwReg2[[#This Row],[Korting%]])</f>
        <v>83</v>
      </c>
    </row>
    <row r="28" spans="2:12">
      <c r="B28" t="s">
        <v>8</v>
      </c>
      <c r="C28" t="s">
        <v>9</v>
      </c>
      <c r="D28" s="7">
        <v>109</v>
      </c>
      <c r="E28" s="1">
        <f>IF(tblKwReg2[[#This Row],[Bedrag]]&gt;100,10%,0)</f>
        <v>0.1</v>
      </c>
      <c r="F28" s="4">
        <f>tblKwReg2[[#This Row],[Bedrag]]*(1-tblKwReg2[[#This Row],[Korting%]])</f>
        <v>98.100000000000009</v>
      </c>
    </row>
    <row r="29" spans="2:12">
      <c r="B29" t="s">
        <v>10</v>
      </c>
      <c r="C29" t="s">
        <v>9</v>
      </c>
      <c r="D29" s="7">
        <v>84</v>
      </c>
      <c r="E29" s="1">
        <f>IF(tblKwReg2[[#This Row],[Bedrag]]&gt;100,10%,0)</f>
        <v>0</v>
      </c>
      <c r="F29" s="4">
        <f>tblKwReg2[[#This Row],[Bedrag]]*(1-tblKwReg2[[#This Row],[Korting%]])</f>
        <v>84</v>
      </c>
    </row>
    <row r="30" spans="2:12">
      <c r="B30" t="s">
        <v>10</v>
      </c>
      <c r="C30" t="s">
        <v>9</v>
      </c>
      <c r="D30" s="7">
        <v>104</v>
      </c>
      <c r="E30" s="1">
        <f>IF(tblKwReg2[[#This Row],[Bedrag]]&gt;100,10%,0)</f>
        <v>0.1</v>
      </c>
      <c r="F30" s="4">
        <f>tblKwReg2[[#This Row],[Bedrag]]*(1-tblKwReg2[[#This Row],[Korting%]])</f>
        <v>93.600000000000009</v>
      </c>
    </row>
    <row r="31" spans="2:12">
      <c r="B31" t="s">
        <v>10</v>
      </c>
      <c r="C31" t="s">
        <v>6</v>
      </c>
      <c r="D31" s="7">
        <v>110</v>
      </c>
      <c r="E31" s="1">
        <f>IF(tblKwReg2[[#This Row],[Bedrag]]&gt;100,10%,0)</f>
        <v>0.1</v>
      </c>
      <c r="F31" s="4">
        <f>tblKwReg2[[#This Row],[Bedrag]]*(1-tblKwReg2[[#This Row],[Korting%]])</f>
        <v>99</v>
      </c>
    </row>
    <row r="32" spans="2:12">
      <c r="B32" t="s">
        <v>5</v>
      </c>
      <c r="C32" t="s">
        <v>9</v>
      </c>
      <c r="D32" s="7">
        <v>124</v>
      </c>
      <c r="E32" s="1">
        <f>IF(tblKwReg2[[#This Row],[Bedrag]]&gt;100,10%,0)</f>
        <v>0.1</v>
      </c>
      <c r="F32" s="4">
        <f>tblKwReg2[[#This Row],[Bedrag]]*(1-tblKwReg2[[#This Row],[Korting%]])</f>
        <v>111.60000000000001</v>
      </c>
      <c r="H32" s="24"/>
    </row>
    <row r="33" spans="2:11">
      <c r="B33" t="s">
        <v>8</v>
      </c>
      <c r="C33" t="s">
        <v>9</v>
      </c>
      <c r="D33" s="7">
        <v>125</v>
      </c>
      <c r="E33" s="1">
        <f>IF(tblKwReg2[[#This Row],[Bedrag]]&gt;100,10%,0)</f>
        <v>0.1</v>
      </c>
      <c r="F33" s="4">
        <f>tblKwReg2[[#This Row],[Bedrag]]*(1-tblKwReg2[[#This Row],[Korting%]])</f>
        <v>112.5</v>
      </c>
    </row>
    <row r="34" spans="2:11">
      <c r="B34" t="s">
        <v>5</v>
      </c>
      <c r="C34" t="s">
        <v>9</v>
      </c>
      <c r="D34" s="7">
        <v>76</v>
      </c>
      <c r="E34" s="1">
        <f>IF(tblKwReg2[[#This Row],[Bedrag]]&gt;100,10%,0)</f>
        <v>0</v>
      </c>
      <c r="F34" s="4">
        <f>tblKwReg2[[#This Row],[Bedrag]]*(1-tblKwReg2[[#This Row],[Korting%]])</f>
        <v>76</v>
      </c>
      <c r="H34" s="24" t="s">
        <v>20</v>
      </c>
      <c r="I34" t="str">
        <f>tblKwReg2[[#Headers],[Bedrag]]</f>
        <v>Bedrag</v>
      </c>
      <c r="J34" t="str">
        <f>tblKwReg2[[#Headers],[Bedrag]]</f>
        <v>Bedrag</v>
      </c>
      <c r="K34" t="str">
        <f>tblKwReg2[[#Headers],[Bedrag]]</f>
        <v>Bedrag</v>
      </c>
    </row>
    <row r="35" spans="2:11">
      <c r="B35" t="s">
        <v>10</v>
      </c>
      <c r="C35" t="s">
        <v>9</v>
      </c>
      <c r="D35" s="7">
        <v>104</v>
      </c>
      <c r="E35" s="1">
        <f>IF(tblKwReg2[[#This Row],[Bedrag]]&gt;100,10%,0)</f>
        <v>0.1</v>
      </c>
      <c r="F35" s="4">
        <f>tblKwReg2[[#This Row],[Bedrag]]*(1-tblKwReg2[[#This Row],[Korting%]])</f>
        <v>93.600000000000009</v>
      </c>
      <c r="H35" s="24" t="s">
        <v>19</v>
      </c>
      <c r="I35" t="str">
        <f>tblKwReg2[[#Headers],[Bedrag]]</f>
        <v>Bedrag</v>
      </c>
      <c r="J35" t="str">
        <f>tblKwReg2[[#Headers],[Korting%]]</f>
        <v>Korting%</v>
      </c>
      <c r="K35" t="str">
        <f>tblKwReg2[[#Headers],[Bedrag 
incl. korting]]</f>
        <v>Bedrag _x000D_incl. korting</v>
      </c>
    </row>
    <row r="36" spans="2:11">
      <c r="B36" t="s">
        <v>10</v>
      </c>
      <c r="C36" t="s">
        <v>6</v>
      </c>
      <c r="D36" s="7">
        <v>103</v>
      </c>
      <c r="E36" s="1">
        <f>IF(tblKwReg2[[#This Row],[Bedrag]]&gt;100,10%,0)</f>
        <v>0.1</v>
      </c>
      <c r="F36" s="4">
        <f>tblKwReg2[[#This Row],[Bedrag]]*(1-tblKwReg2[[#This Row],[Korting%]])</f>
        <v>92.7</v>
      </c>
    </row>
    <row r="37" spans="2:11">
      <c r="B37" t="s">
        <v>8</v>
      </c>
      <c r="C37" t="s">
        <v>9</v>
      </c>
      <c r="D37" s="7">
        <v>79</v>
      </c>
      <c r="E37" s="1">
        <f>IF(tblKwReg2[[#This Row],[Bedrag]]&gt;100,10%,0)</f>
        <v>0</v>
      </c>
      <c r="F37" s="4">
        <f>tblKwReg2[[#This Row],[Bedrag]]*(1-tblKwReg2[[#This Row],[Korting%]])</f>
        <v>79</v>
      </c>
    </row>
    <row r="38" spans="2:11">
      <c r="B38" t="s">
        <v>7</v>
      </c>
      <c r="C38" t="s">
        <v>9</v>
      </c>
      <c r="D38" s="7">
        <v>75</v>
      </c>
      <c r="E38" s="1">
        <f>IF(tblKwReg2[[#This Row],[Bedrag]]&gt;100,10%,0)</f>
        <v>0</v>
      </c>
      <c r="F38" s="4">
        <f>tblKwReg2[[#This Row],[Bedrag]]*(1-tblKwReg2[[#This Row],[Korting%]])</f>
        <v>75</v>
      </c>
    </row>
    <row r="39" spans="2:11">
      <c r="B39" t="s">
        <v>5</v>
      </c>
      <c r="C39" t="s">
        <v>6</v>
      </c>
      <c r="D39" s="7">
        <v>117</v>
      </c>
      <c r="E39" s="1">
        <f>IF(tblKwReg2[[#This Row],[Bedrag]]&gt;100,10%,0)</f>
        <v>0.1</v>
      </c>
      <c r="F39" s="4">
        <f>tblKwReg2[[#This Row],[Bedrag]]*(1-tblKwReg2[[#This Row],[Korting%]])</f>
        <v>105.3</v>
      </c>
    </row>
    <row r="40" spans="2:11">
      <c r="B40" t="s">
        <v>7</v>
      </c>
      <c r="C40" t="s">
        <v>9</v>
      </c>
      <c r="D40" s="7">
        <v>106</v>
      </c>
      <c r="E40" s="1">
        <f>IF(tblKwReg2[[#This Row],[Bedrag]]&gt;100,10%,0)</f>
        <v>0.1</v>
      </c>
      <c r="F40" s="4">
        <f>tblKwReg2[[#This Row],[Bedrag]]*(1-tblKwReg2[[#This Row],[Korting%]])</f>
        <v>95.4</v>
      </c>
    </row>
    <row r="41" spans="2:11">
      <c r="B41" t="s">
        <v>8</v>
      </c>
      <c r="C41" t="s">
        <v>9</v>
      </c>
      <c r="D41" s="7">
        <v>81</v>
      </c>
      <c r="E41" s="1">
        <f>IF(tblKwReg2[[#This Row],[Bedrag]]&gt;100,10%,0)</f>
        <v>0</v>
      </c>
      <c r="F41" s="4">
        <f>tblKwReg2[[#This Row],[Bedrag]]*(1-tblKwReg2[[#This Row],[Korting%]])</f>
        <v>81</v>
      </c>
    </row>
    <row r="42" spans="2:11">
      <c r="B42" t="s">
        <v>5</v>
      </c>
      <c r="C42" t="s">
        <v>6</v>
      </c>
      <c r="D42" s="7">
        <v>82</v>
      </c>
      <c r="E42" s="1">
        <f>IF(tblKwReg2[[#This Row],[Bedrag]]&gt;100,10%,0)</f>
        <v>0</v>
      </c>
      <c r="F42" s="4">
        <f>tblKwReg2[[#This Row],[Bedrag]]*(1-tblKwReg2[[#This Row],[Korting%]])</f>
        <v>82</v>
      </c>
    </row>
    <row r="43" spans="2:11">
      <c r="B43" t="s">
        <v>17</v>
      </c>
      <c r="D43" s="8">
        <f>SUBTOTAL(109,tblKwReg2[Bedrag])</f>
        <v>4048</v>
      </c>
      <c r="E43" s="10">
        <f>SUBTOTAL(101,tblKwReg2[Korting%])</f>
        <v>5.7500000000000016E-2</v>
      </c>
      <c r="F43" s="11">
        <f>SUBTOTAL(109,tblKwReg2[Bedrag 
incl. korting])</f>
        <v>3789.9</v>
      </c>
      <c r="H43" s="4">
        <f>tblKwReg2[[#Totals],[Bedrag]]*(1-tblKwReg2[[#Totals],[Korting%]])</f>
        <v>3815.2400000000002</v>
      </c>
    </row>
    <row r="44" spans="2:11">
      <c r="H44" s="4">
        <f>D43*(1-E43)</f>
        <v>3815.2400000000002</v>
      </c>
    </row>
  </sheetData>
  <pageMargins left="0.7" right="0.7" top="0.75" bottom="0.75" header="0.3" footer="0.3"/>
  <pageSetup paperSize="9" orientation="portrait" horizontalDpi="4294967292" verticalDpi="4294967292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4"/>
  <sheetViews>
    <sheetView workbookViewId="0"/>
  </sheetViews>
  <sheetFormatPr baseColWidth="10" defaultColWidth="8.83203125" defaultRowHeight="12" x14ac:dyDescent="0"/>
  <cols>
    <col min="1" max="1" width="3.33203125" customWidth="1"/>
    <col min="2" max="2" width="11.5" bestFit="1" customWidth="1"/>
    <col min="3" max="3" width="8.5" bestFit="1" customWidth="1"/>
    <col min="4" max="4" width="9.83203125" bestFit="1" customWidth="1"/>
    <col min="5" max="5" width="11.33203125" bestFit="1" customWidth="1"/>
    <col min="6" max="6" width="14" bestFit="1" customWidth="1"/>
    <col min="7" max="7" width="3.5" customWidth="1"/>
    <col min="8" max="8" width="34.5" bestFit="1" customWidth="1"/>
    <col min="9" max="9" width="25.1640625" customWidth="1"/>
    <col min="10" max="10" width="8.5" customWidth="1"/>
    <col min="11" max="11" width="8.5" bestFit="1" customWidth="1"/>
    <col min="12" max="12" width="10.1640625" customWidth="1"/>
    <col min="13" max="13" width="22.83203125" bestFit="1" customWidth="1"/>
    <col min="14" max="14" width="36" bestFit="1" customWidth="1"/>
  </cols>
  <sheetData>
    <row r="2" spans="2:12" s="2" customFormat="1" ht="24">
      <c r="B2" s="2" t="s">
        <v>0</v>
      </c>
      <c r="C2" s="2" t="s">
        <v>1</v>
      </c>
      <c r="D2" s="2" t="s">
        <v>2</v>
      </c>
      <c r="E2" s="2" t="s">
        <v>3</v>
      </c>
      <c r="F2" s="3" t="s">
        <v>4</v>
      </c>
    </row>
    <row r="3" spans="2:12">
      <c r="B3" t="s">
        <v>5</v>
      </c>
      <c r="C3" t="s">
        <v>6</v>
      </c>
      <c r="D3" s="7">
        <v>106</v>
      </c>
      <c r="E3" s="1">
        <f>IF(tblKwReg2b[[#This Row],[Bedrag]]&gt;100,10%,0)</f>
        <v>0.1</v>
      </c>
      <c r="F3" s="4">
        <f>tblKwReg2b[[#This Row],[Bedrag]]*(1-tblKwReg2b[[#This Row],[Korting%]])</f>
        <v>95.4</v>
      </c>
    </row>
    <row r="4" spans="2:12">
      <c r="B4" t="s">
        <v>7</v>
      </c>
      <c r="C4" t="s">
        <v>6</v>
      </c>
      <c r="D4" s="7">
        <v>122</v>
      </c>
      <c r="E4" s="1">
        <f>IF(tblKwReg2b[[#This Row],[Bedrag]]&gt;100,10%,0)</f>
        <v>0.1</v>
      </c>
      <c r="F4" s="4">
        <f>tblKwReg2b[[#This Row],[Bedrag]]*(1-tblKwReg2b[[#This Row],[Korting%]])</f>
        <v>109.8</v>
      </c>
      <c r="J4" s="5" t="s">
        <v>1</v>
      </c>
    </row>
    <row r="5" spans="2:12">
      <c r="B5" t="s">
        <v>8</v>
      </c>
      <c r="C5" t="s">
        <v>6</v>
      </c>
      <c r="D5" s="7">
        <v>118</v>
      </c>
      <c r="E5" s="1">
        <f>IF(tblKwReg2b[[#This Row],[Bedrag]]&gt;100,10%,0)</f>
        <v>0.1</v>
      </c>
      <c r="F5" s="4">
        <f>tblKwReg2b[[#This Row],[Bedrag]]*(1-tblKwReg2b[[#This Row],[Korting%]])</f>
        <v>106.2</v>
      </c>
      <c r="H5" s="5" t="s">
        <v>0</v>
      </c>
      <c r="I5" s="5" t="s">
        <v>14</v>
      </c>
      <c r="J5" t="s">
        <v>9</v>
      </c>
      <c r="K5" t="s">
        <v>6</v>
      </c>
      <c r="L5" t="s">
        <v>11</v>
      </c>
    </row>
    <row r="6" spans="2:12">
      <c r="B6" t="s">
        <v>7</v>
      </c>
      <c r="C6" t="s">
        <v>9</v>
      </c>
      <c r="D6" s="7">
        <v>102</v>
      </c>
      <c r="E6" s="1">
        <f>IF(tblKwReg2b[[#This Row],[Bedrag]]&gt;100,10%,0)</f>
        <v>0.1</v>
      </c>
      <c r="F6" s="4">
        <f>tblKwReg2b[[#This Row],[Bedrag]]*(1-tblKwReg2b[[#This Row],[Korting%]])</f>
        <v>91.8</v>
      </c>
      <c r="H6" t="s">
        <v>8</v>
      </c>
      <c r="I6" t="s">
        <v>12</v>
      </c>
      <c r="J6" s="6">
        <v>677</v>
      </c>
      <c r="K6" s="6">
        <v>446</v>
      </c>
      <c r="L6" s="6">
        <v>1123</v>
      </c>
    </row>
    <row r="7" spans="2:12">
      <c r="B7" t="s">
        <v>5</v>
      </c>
      <c r="C7" t="s">
        <v>9</v>
      </c>
      <c r="D7" s="7">
        <v>112</v>
      </c>
      <c r="E7" s="1">
        <f>IF(tblKwReg2b[[#This Row],[Bedrag]]&gt;100,10%,0)</f>
        <v>0.1</v>
      </c>
      <c r="F7" s="4">
        <f>tblKwReg2b[[#This Row],[Bedrag]]*(1-tblKwReg2b[[#This Row],[Korting%]])</f>
        <v>100.8</v>
      </c>
      <c r="I7" t="s">
        <v>15</v>
      </c>
      <c r="J7" s="6">
        <v>642.5</v>
      </c>
      <c r="K7" s="6">
        <v>410.90000000000003</v>
      </c>
      <c r="L7" s="6">
        <v>1053.4000000000001</v>
      </c>
    </row>
    <row r="8" spans="2:12">
      <c r="B8" t="s">
        <v>5</v>
      </c>
      <c r="C8" t="s">
        <v>9</v>
      </c>
      <c r="D8" s="7">
        <v>104</v>
      </c>
      <c r="E8" s="1">
        <f>IF(tblKwReg2b[[#This Row],[Bedrag]]&gt;100,10%,0)</f>
        <v>0.1</v>
      </c>
      <c r="F8" s="4">
        <f>tblKwReg2b[[#This Row],[Bedrag]]*(1-tblKwReg2b[[#This Row],[Korting%]])</f>
        <v>93.600000000000009</v>
      </c>
      <c r="H8" t="s">
        <v>10</v>
      </c>
      <c r="I8" t="s">
        <v>12</v>
      </c>
      <c r="J8" s="6">
        <v>605</v>
      </c>
      <c r="K8" s="6">
        <v>638</v>
      </c>
      <c r="L8" s="6">
        <v>1243</v>
      </c>
    </row>
    <row r="9" spans="2:12">
      <c r="B9" t="s">
        <v>10</v>
      </c>
      <c r="C9" t="s">
        <v>9</v>
      </c>
      <c r="D9" s="7">
        <v>100</v>
      </c>
      <c r="E9" s="1">
        <f>IF(tblKwReg2b[[#This Row],[Bedrag]]&gt;100,10%,0)</f>
        <v>0</v>
      </c>
      <c r="F9" s="4">
        <f>tblKwReg2b[[#This Row],[Bedrag]]*(1-tblKwReg2b[[#This Row],[Korting%]])</f>
        <v>100</v>
      </c>
      <c r="I9" t="s">
        <v>15</v>
      </c>
      <c r="J9" s="6">
        <v>572.1</v>
      </c>
      <c r="K9" s="6">
        <v>583.5</v>
      </c>
      <c r="L9" s="6">
        <v>1155.5999999999999</v>
      </c>
    </row>
    <row r="10" spans="2:12">
      <c r="B10" t="s">
        <v>10</v>
      </c>
      <c r="C10" t="s">
        <v>6</v>
      </c>
      <c r="D10" s="7">
        <v>125</v>
      </c>
      <c r="E10" s="1">
        <f>IF(tblKwReg2b[[#This Row],[Bedrag]]&gt;100,10%,0)</f>
        <v>0.1</v>
      </c>
      <c r="F10" s="4">
        <f>tblKwReg2b[[#This Row],[Bedrag]]*(1-tblKwReg2b[[#This Row],[Korting%]])</f>
        <v>112.5</v>
      </c>
      <c r="H10" t="s">
        <v>5</v>
      </c>
      <c r="I10" t="s">
        <v>12</v>
      </c>
      <c r="J10" s="6">
        <v>534</v>
      </c>
      <c r="K10" s="6">
        <v>652</v>
      </c>
      <c r="L10" s="6">
        <v>1186</v>
      </c>
    </row>
    <row r="11" spans="2:12">
      <c r="B11" t="s">
        <v>5</v>
      </c>
      <c r="C11" t="s">
        <v>6</v>
      </c>
      <c r="D11" s="7">
        <v>93</v>
      </c>
      <c r="E11" s="1">
        <f>IF(tblKwReg2b[[#This Row],[Bedrag]]&gt;100,10%,0)</f>
        <v>0</v>
      </c>
      <c r="F11" s="4">
        <f>tblKwReg2b[[#This Row],[Bedrag]]*(1-tblKwReg2b[[#This Row],[Korting%]])</f>
        <v>93</v>
      </c>
      <c r="I11" t="s">
        <v>15</v>
      </c>
      <c r="J11" s="6">
        <v>488.20000000000005</v>
      </c>
      <c r="K11" s="6">
        <v>629.69999999999993</v>
      </c>
      <c r="L11" s="6">
        <v>1117.9000000000001</v>
      </c>
    </row>
    <row r="12" spans="2:12">
      <c r="B12" t="s">
        <v>5</v>
      </c>
      <c r="C12" t="s">
        <v>9</v>
      </c>
      <c r="D12" s="7">
        <v>118</v>
      </c>
      <c r="E12" s="1">
        <f>IF(tblKwReg2b[[#This Row],[Bedrag]]&gt;100,10%,0)</f>
        <v>0.1</v>
      </c>
      <c r="F12" s="4">
        <f>tblKwReg2b[[#This Row],[Bedrag]]*(1-tblKwReg2b[[#This Row],[Korting%]])</f>
        <v>106.2</v>
      </c>
      <c r="H12" t="s">
        <v>7</v>
      </c>
      <c r="I12" t="s">
        <v>12</v>
      </c>
      <c r="J12" s="6">
        <v>283</v>
      </c>
      <c r="K12" s="6">
        <v>213</v>
      </c>
      <c r="L12" s="6">
        <v>496</v>
      </c>
    </row>
    <row r="13" spans="2:12">
      <c r="B13" t="s">
        <v>10</v>
      </c>
      <c r="C13" t="s">
        <v>6</v>
      </c>
      <c r="D13" s="7">
        <v>105</v>
      </c>
      <c r="E13" s="1">
        <f>IF(tblKwReg2b[[#This Row],[Bedrag]]&gt;100,10%,0)</f>
        <v>0.1</v>
      </c>
      <c r="F13" s="4">
        <f>tblKwReg2b[[#This Row],[Bedrag]]*(1-tblKwReg2b[[#This Row],[Korting%]])</f>
        <v>94.5</v>
      </c>
      <c r="I13" t="s">
        <v>15</v>
      </c>
      <c r="J13" s="6">
        <v>262.20000000000005</v>
      </c>
      <c r="K13" s="6">
        <v>200.8</v>
      </c>
      <c r="L13" s="6">
        <v>463.00000000000006</v>
      </c>
    </row>
    <row r="14" spans="2:12">
      <c r="B14" t="s">
        <v>8</v>
      </c>
      <c r="C14" t="s">
        <v>6</v>
      </c>
      <c r="D14" s="7">
        <v>121</v>
      </c>
      <c r="E14" s="1">
        <f>IF(tblKwReg2b[[#This Row],[Bedrag]]&gt;100,10%,0)</f>
        <v>0.1</v>
      </c>
      <c r="F14" s="4">
        <f>tblKwReg2b[[#This Row],[Bedrag]]*(1-tblKwReg2b[[#This Row],[Korting%]])</f>
        <v>108.9</v>
      </c>
      <c r="H14" t="s">
        <v>13</v>
      </c>
      <c r="J14" s="6">
        <v>2099</v>
      </c>
      <c r="K14" s="6">
        <v>1949</v>
      </c>
      <c r="L14" s="6">
        <v>4048</v>
      </c>
    </row>
    <row r="15" spans="2:12">
      <c r="B15" t="s">
        <v>7</v>
      </c>
      <c r="C15" t="s">
        <v>6</v>
      </c>
      <c r="D15" s="7">
        <v>91</v>
      </c>
      <c r="E15" s="1">
        <f>IF(tblKwReg2b[[#This Row],[Bedrag]]&gt;100,10%,0)</f>
        <v>0</v>
      </c>
      <c r="F15" s="4">
        <f>tblKwReg2b[[#This Row],[Bedrag]]*(1-tblKwReg2b[[#This Row],[Korting%]])</f>
        <v>91</v>
      </c>
      <c r="H15" t="s">
        <v>16</v>
      </c>
      <c r="J15" s="6">
        <v>1965</v>
      </c>
      <c r="K15" s="6">
        <v>1824.8999999999999</v>
      </c>
      <c r="L15" s="6">
        <v>3789.9</v>
      </c>
    </row>
    <row r="16" spans="2:12">
      <c r="B16" t="s">
        <v>10</v>
      </c>
      <c r="C16" t="s">
        <v>9</v>
      </c>
      <c r="D16" s="7">
        <v>121</v>
      </c>
      <c r="E16" s="1">
        <f>IF(tblKwReg2b[[#This Row],[Bedrag]]&gt;100,10%,0)</f>
        <v>0.1</v>
      </c>
      <c r="F16" s="4">
        <f>tblKwReg2b[[#This Row],[Bedrag]]*(1-tblKwReg2b[[#This Row],[Korting%]])</f>
        <v>108.9</v>
      </c>
    </row>
    <row r="17" spans="2:12">
      <c r="B17" t="s">
        <v>8</v>
      </c>
      <c r="C17" t="s">
        <v>9</v>
      </c>
      <c r="D17" s="7">
        <v>89</v>
      </c>
      <c r="E17" s="1">
        <f>IF(tblKwReg2b[[#This Row],[Bedrag]]&gt;100,10%,0)</f>
        <v>0</v>
      </c>
      <c r="F17" s="4">
        <f>tblKwReg2b[[#This Row],[Bedrag]]*(1-tblKwReg2b[[#This Row],[Korting%]])</f>
        <v>89</v>
      </c>
    </row>
    <row r="18" spans="2:12" ht="13" thickBot="1">
      <c r="B18" t="s">
        <v>8</v>
      </c>
      <c r="C18" t="s">
        <v>6</v>
      </c>
      <c r="D18" s="7">
        <v>112</v>
      </c>
      <c r="E18" s="1">
        <f>IF(tblKwReg2b[[#This Row],[Bedrag]]&gt;100,10%,0)</f>
        <v>0.1</v>
      </c>
      <c r="F18" s="4">
        <f>tblKwReg2b[[#This Row],[Bedrag]]*(1-tblKwReg2b[[#This Row],[Korting%]])</f>
        <v>100.8</v>
      </c>
    </row>
    <row r="19" spans="2:12" ht="13" thickBot="1">
      <c r="B19" t="s">
        <v>5</v>
      </c>
      <c r="C19" t="s">
        <v>6</v>
      </c>
      <c r="D19" s="7">
        <v>92</v>
      </c>
      <c r="E19" s="1">
        <f>IF(tblKwReg2b[[#This Row],[Bedrag]]&gt;100,10%,0)</f>
        <v>0</v>
      </c>
      <c r="F19" s="4">
        <f>tblKwReg2b[[#This Row],[Bedrag]]*(1-tblKwReg2b[[#This Row],[Korting%]])</f>
        <v>92</v>
      </c>
      <c r="I19" s="18" t="s">
        <v>21</v>
      </c>
      <c r="J19" s="12"/>
      <c r="K19" s="12"/>
      <c r="L19" s="13"/>
    </row>
    <row r="20" spans="2:12">
      <c r="B20" t="s">
        <v>8</v>
      </c>
      <c r="C20" t="s">
        <v>6</v>
      </c>
      <c r="D20" s="7">
        <v>95</v>
      </c>
      <c r="E20" s="1">
        <f>IF(tblKwReg2b[[#This Row],[Bedrag]]&gt;100,10%,0)</f>
        <v>0</v>
      </c>
      <c r="F20" s="4">
        <f>tblKwReg2b[[#This Row],[Bedrag]]*(1-tblKwReg2b[[#This Row],[Korting%]])</f>
        <v>95</v>
      </c>
      <c r="I20" s="21" t="s">
        <v>22</v>
      </c>
      <c r="J20" s="19" t="s">
        <v>9</v>
      </c>
      <c r="K20" s="19" t="s">
        <v>6</v>
      </c>
      <c r="L20" s="20" t="s">
        <v>17</v>
      </c>
    </row>
    <row r="21" spans="2:12">
      <c r="B21" t="s">
        <v>10</v>
      </c>
      <c r="C21" t="s">
        <v>6</v>
      </c>
      <c r="D21" s="7">
        <v>93</v>
      </c>
      <c r="E21" s="1">
        <f>IF(tblKwReg2b[[#This Row],[Bedrag]]&gt;100,10%,0)</f>
        <v>0</v>
      </c>
      <c r="F21" s="4">
        <f>tblKwReg2b[[#This Row],[Bedrag]]*(1-tblKwReg2b[[#This Row],[Korting%]])</f>
        <v>93</v>
      </c>
      <c r="I21" s="22" t="s">
        <v>8</v>
      </c>
      <c r="J21" s="14">
        <f>SUMIFS(tblKwReg2b[Bedrag],tblKwReg2b[Regio],J$20,tblKwReg2b[Kwartaal],$I21)</f>
        <v>677</v>
      </c>
      <c r="K21" s="14">
        <f>SUMIFS(tblKwReg2b[Bedrag],tblKwReg2b[Regio],K$20,tblKwReg2b[Kwartaal],$I21)</f>
        <v>446</v>
      </c>
      <c r="L21" s="15">
        <f>SUMIF(tblKwReg2b[Kwartaal],I21,tblKwReg2b[Bedrag])</f>
        <v>1123</v>
      </c>
    </row>
    <row r="22" spans="2:12" ht="13" thickBot="1">
      <c r="B22" t="s">
        <v>5</v>
      </c>
      <c r="C22" t="s">
        <v>6</v>
      </c>
      <c r="D22" s="7">
        <v>79</v>
      </c>
      <c r="E22" s="1">
        <f>IF(tblKwReg2b[[#This Row],[Bedrag]]&gt;100,10%,0)</f>
        <v>0</v>
      </c>
      <c r="F22" s="4">
        <f>tblKwReg2b[[#This Row],[Bedrag]]*(1-tblKwReg2b[[#This Row],[Korting%]])</f>
        <v>79</v>
      </c>
      <c r="I22" s="23" t="s">
        <v>10</v>
      </c>
      <c r="J22" s="16">
        <f>SUMIFS(tblKwReg2b[Bedrag],tblKwReg2b[Regio],J$20,tblKwReg2b[Kwartaal],$I22)</f>
        <v>605</v>
      </c>
      <c r="K22" s="16">
        <f>SUMIFS(tblKwReg2b[Bedrag],tblKwReg2b[Regio],K$20,tblKwReg2b[Kwartaal],$I22)</f>
        <v>638</v>
      </c>
      <c r="L22" s="17">
        <f>SUMIF(tblKwReg2b[Kwartaal],I22,tblKwReg2b[Bedrag])</f>
        <v>1243</v>
      </c>
    </row>
    <row r="23" spans="2:12">
      <c r="B23" t="s">
        <v>8</v>
      </c>
      <c r="C23" t="s">
        <v>9</v>
      </c>
      <c r="D23" s="7">
        <v>111</v>
      </c>
      <c r="E23" s="1">
        <f>IF(tblKwReg2b[[#This Row],[Bedrag]]&gt;100,10%,0)</f>
        <v>0.1</v>
      </c>
      <c r="F23" s="4">
        <f>tblKwReg2b[[#This Row],[Bedrag]]*(1-tblKwReg2b[[#This Row],[Korting%]])</f>
        <v>99.9</v>
      </c>
    </row>
    <row r="24" spans="2:12">
      <c r="B24" t="s">
        <v>10</v>
      </c>
      <c r="C24" t="s">
        <v>9</v>
      </c>
      <c r="D24" s="7">
        <v>92</v>
      </c>
      <c r="E24" s="1">
        <f>IF(tblKwReg2b[[#This Row],[Bedrag]]&gt;100,10%,0)</f>
        <v>0</v>
      </c>
      <c r="F24" s="4">
        <f>tblKwReg2b[[#This Row],[Bedrag]]*(1-tblKwReg2b[[#This Row],[Korting%]])</f>
        <v>92</v>
      </c>
    </row>
    <row r="25" spans="2:12">
      <c r="B25" t="s">
        <v>5</v>
      </c>
      <c r="C25" t="s">
        <v>6</v>
      </c>
      <c r="D25" s="7">
        <v>83</v>
      </c>
      <c r="E25" s="1">
        <f>IF(tblKwReg2b[[#This Row],[Bedrag]]&gt;100,10%,0)</f>
        <v>0</v>
      </c>
      <c r="F25" s="4">
        <f>tblKwReg2b[[#This Row],[Bedrag]]*(1-tblKwReg2b[[#This Row],[Korting%]])</f>
        <v>83</v>
      </c>
      <c r="I25" s="26" t="s">
        <v>0</v>
      </c>
      <c r="J25" s="27" t="s">
        <v>9</v>
      </c>
      <c r="K25" s="27" t="s">
        <v>6</v>
      </c>
      <c r="L25" s="27" t="s">
        <v>17</v>
      </c>
    </row>
    <row r="26" spans="2:12">
      <c r="B26" t="s">
        <v>10</v>
      </c>
      <c r="C26" t="s">
        <v>6</v>
      </c>
      <c r="D26" s="7">
        <v>102</v>
      </c>
      <c r="E26" s="1">
        <f>IF(tblKwReg2b[[#This Row],[Bedrag]]&gt;100,10%,0)</f>
        <v>0.1</v>
      </c>
      <c r="F26" s="4">
        <f>tblKwReg2b[[#This Row],[Bedrag]]*(1-tblKwReg2b[[#This Row],[Korting%]])</f>
        <v>91.8</v>
      </c>
      <c r="I26" s="25" t="s">
        <v>8</v>
      </c>
      <c r="J26" s="14">
        <f>SUMIFS(tblKwReg2b[Bedrag],tblKwReg2b[Regio],tblResult[[#Headers],[Noord]],tblKwReg2b[Kwartaal],tblResult[[#This Row],[Kwartaal]])</f>
        <v>677</v>
      </c>
      <c r="K26" s="14">
        <f>SUMIFS(tblKwReg2b[Korting%],tblKwReg2b[Bedrag],tblResult[[#Headers],[Zuid]],tblKwReg2b[Regio],tblResult[[#This Row],[Noord]])</f>
        <v>0</v>
      </c>
      <c r="L26" s="14">
        <f>SUMIF(tblKwReg2b[Kwartaal],I26,tblKwReg2b[Bedrag])</f>
        <v>1123</v>
      </c>
    </row>
    <row r="27" spans="2:12">
      <c r="B27" t="s">
        <v>8</v>
      </c>
      <c r="C27" t="s">
        <v>9</v>
      </c>
      <c r="D27" s="7">
        <v>83</v>
      </c>
      <c r="E27" s="1">
        <f>IF(tblKwReg2b[[#This Row],[Bedrag]]&gt;100,10%,0)</f>
        <v>0</v>
      </c>
      <c r="F27" s="4">
        <f>tblKwReg2b[[#This Row],[Bedrag]]*(1-tblKwReg2b[[#This Row],[Korting%]])</f>
        <v>83</v>
      </c>
      <c r="I27" s="25" t="s">
        <v>10</v>
      </c>
      <c r="J27" s="14">
        <f>SUMIFS(tblKwReg2b[Bedrag],tblKwReg2b[Regio],tblResult[[#Headers],[Noord]],tblKwReg2b[Kwartaal],tblResult[[#This Row],[Kwartaal]])</f>
        <v>605</v>
      </c>
      <c r="K27" s="14">
        <f>SUMIFS(tblKwReg2b[Bedrag],tblKwReg2b[Regio],tblResult[[#Headers],[Noord]],tblKwReg2b[Kwartaal],tblResult[[#This Row],[Kwartaal]])</f>
        <v>605</v>
      </c>
      <c r="L27" s="14">
        <f>SUMIF(tblKwReg2b[Kwartaal],I27,tblKwReg2b[Bedrag])</f>
        <v>1243</v>
      </c>
    </row>
    <row r="28" spans="2:12">
      <c r="B28" t="s">
        <v>8</v>
      </c>
      <c r="C28" t="s">
        <v>9</v>
      </c>
      <c r="D28" s="7">
        <v>109</v>
      </c>
      <c r="E28" s="1">
        <f>IF(tblKwReg2b[[#This Row],[Bedrag]]&gt;100,10%,0)</f>
        <v>0.1</v>
      </c>
      <c r="F28" s="4">
        <f>tblKwReg2b[[#This Row],[Bedrag]]*(1-tblKwReg2b[[#This Row],[Korting%]])</f>
        <v>98.100000000000009</v>
      </c>
    </row>
    <row r="29" spans="2:12">
      <c r="B29" t="s">
        <v>10</v>
      </c>
      <c r="C29" t="s">
        <v>9</v>
      </c>
      <c r="D29" s="7">
        <v>84</v>
      </c>
      <c r="E29" s="1">
        <f>IF(tblKwReg2b[[#This Row],[Bedrag]]&gt;100,10%,0)</f>
        <v>0</v>
      </c>
      <c r="F29" s="4">
        <f>tblKwReg2b[[#This Row],[Bedrag]]*(1-tblKwReg2b[[#This Row],[Korting%]])</f>
        <v>84</v>
      </c>
    </row>
    <row r="30" spans="2:12">
      <c r="B30" t="s">
        <v>10</v>
      </c>
      <c r="C30" t="s">
        <v>9</v>
      </c>
      <c r="D30" s="7">
        <v>104</v>
      </c>
      <c r="E30" s="1">
        <f>IF(tblKwReg2b[[#This Row],[Bedrag]]&gt;100,10%,0)</f>
        <v>0.1</v>
      </c>
      <c r="F30" s="4">
        <f>tblKwReg2b[[#This Row],[Bedrag]]*(1-tblKwReg2b[[#This Row],[Korting%]])</f>
        <v>93.600000000000009</v>
      </c>
      <c r="I30" s="26" t="s">
        <v>0</v>
      </c>
      <c r="J30" s="27" t="s">
        <v>9</v>
      </c>
      <c r="K30" s="27" t="s">
        <v>6</v>
      </c>
      <c r="L30" s="27" t="s">
        <v>17</v>
      </c>
    </row>
    <row r="31" spans="2:12">
      <c r="B31" t="s">
        <v>10</v>
      </c>
      <c r="C31" t="s">
        <v>6</v>
      </c>
      <c r="D31" s="7">
        <v>110</v>
      </c>
      <c r="E31" s="1">
        <f>IF(tblKwReg2b[[#This Row],[Bedrag]]&gt;100,10%,0)</f>
        <v>0.1</v>
      </c>
      <c r="F31" s="4">
        <f>tblKwReg2b[[#This Row],[Bedrag]]*(1-tblKwReg2b[[#This Row],[Korting%]])</f>
        <v>99</v>
      </c>
      <c r="I31" s="25" t="s">
        <v>8</v>
      </c>
      <c r="J31" s="14">
        <f>SUMIFS(tblKwReg2b[[Bedrag]:[Bedrag]],tblKwReg2b[[Regio]:[Regio]],tblResult2[[#Headers],[Noord]],tblKwReg2b[[Kwartaal]:[Kwartaal]],tblResult2[[#This Row],[Kwartaal]:[Kwartaal]])</f>
        <v>677</v>
      </c>
      <c r="K31" s="14">
        <f>SUMIFS(tblKwReg2b[[Bedrag]:[Bedrag]],tblKwReg2b[[Regio]:[Regio]],tblResult2[[#Headers],[Zuid]],tblKwReg2b[[Kwartaal]:[Kwartaal]],tblResult2[[#This Row],[Kwartaal]:[Kwartaal]])</f>
        <v>446</v>
      </c>
      <c r="L31" s="14">
        <f>SUMIF(tblKwReg2b[Kwartaal],I31,tblKwReg2b[Bedrag])</f>
        <v>1123</v>
      </c>
    </row>
    <row r="32" spans="2:12">
      <c r="B32" t="s">
        <v>5</v>
      </c>
      <c r="C32" t="s">
        <v>9</v>
      </c>
      <c r="D32" s="7">
        <v>124</v>
      </c>
      <c r="E32" s="1">
        <f>IF(tblKwReg2b[[#This Row],[Bedrag]]&gt;100,10%,0)</f>
        <v>0.1</v>
      </c>
      <c r="F32" s="4">
        <f>tblKwReg2b[[#This Row],[Bedrag]]*(1-tblKwReg2b[[#This Row],[Korting%]])</f>
        <v>111.60000000000001</v>
      </c>
      <c r="I32" s="25" t="s">
        <v>10</v>
      </c>
      <c r="J32" s="14">
        <f>SUMIFS(tblKwReg2b[[Bedrag]:[Bedrag]],tblKwReg2b[[Regio]:[Regio]],tblResult2[[#Headers],[Noord]],tblKwReg2b[[Kwartaal]:[Kwartaal]],tblResult2[[#This Row],[Kwartaal]:[Kwartaal]])</f>
        <v>605</v>
      </c>
      <c r="K32" s="14">
        <f>SUMIFS(tblKwReg2b[[Bedrag]:[Bedrag]],tblKwReg2b[[Regio]:[Regio]],tblResult2[[#Headers],[Zuid]],tblKwReg2b[[Kwartaal]:[Kwartaal]],tblResult2[[#This Row],[Kwartaal]:[Kwartaal]])</f>
        <v>638</v>
      </c>
      <c r="L32" s="14">
        <f>SUMIF(tblKwReg2b[Kwartaal],I32,tblKwReg2b[Bedrag])</f>
        <v>1243</v>
      </c>
    </row>
    <row r="33" spans="2:8">
      <c r="B33" t="s">
        <v>8</v>
      </c>
      <c r="C33" t="s">
        <v>9</v>
      </c>
      <c r="D33" s="7">
        <v>125</v>
      </c>
      <c r="E33" s="1">
        <f>IF(tblKwReg2b[[#This Row],[Bedrag]]&gt;100,10%,0)</f>
        <v>0.1</v>
      </c>
      <c r="F33" s="4">
        <f>tblKwReg2b[[#This Row],[Bedrag]]*(1-tblKwReg2b[[#This Row],[Korting%]])</f>
        <v>112.5</v>
      </c>
    </row>
    <row r="34" spans="2:8">
      <c r="B34" t="s">
        <v>5</v>
      </c>
      <c r="C34" t="s">
        <v>9</v>
      </c>
      <c r="D34" s="7">
        <v>76</v>
      </c>
      <c r="E34" s="1">
        <f>IF(tblKwReg2b[[#This Row],[Bedrag]]&gt;100,10%,0)</f>
        <v>0</v>
      </c>
      <c r="F34" s="4">
        <f>tblKwReg2b[[#This Row],[Bedrag]]*(1-tblKwReg2b[[#This Row],[Korting%]])</f>
        <v>76</v>
      </c>
    </row>
    <row r="35" spans="2:8">
      <c r="B35" t="s">
        <v>10</v>
      </c>
      <c r="C35" t="s">
        <v>9</v>
      </c>
      <c r="D35" s="7">
        <v>104</v>
      </c>
      <c r="E35" s="1">
        <f>IF(tblKwReg2b[[#This Row],[Bedrag]]&gt;100,10%,0)</f>
        <v>0.1</v>
      </c>
      <c r="F35" s="4">
        <f>tblKwReg2b[[#This Row],[Bedrag]]*(1-tblKwReg2b[[#This Row],[Korting%]])</f>
        <v>93.600000000000009</v>
      </c>
    </row>
    <row r="36" spans="2:8">
      <c r="B36" t="s">
        <v>10</v>
      </c>
      <c r="C36" t="s">
        <v>6</v>
      </c>
      <c r="D36" s="7">
        <v>103</v>
      </c>
      <c r="E36" s="1">
        <f>IF(tblKwReg2b[[#This Row],[Bedrag]]&gt;100,10%,0)</f>
        <v>0.1</v>
      </c>
      <c r="F36" s="4">
        <f>tblKwReg2b[[#This Row],[Bedrag]]*(1-tblKwReg2b[[#This Row],[Korting%]])</f>
        <v>92.7</v>
      </c>
    </row>
    <row r="37" spans="2:8">
      <c r="B37" t="s">
        <v>8</v>
      </c>
      <c r="C37" t="s">
        <v>9</v>
      </c>
      <c r="D37" s="7">
        <v>79</v>
      </c>
      <c r="E37" s="1">
        <f>IF(tblKwReg2b[[#This Row],[Bedrag]]&gt;100,10%,0)</f>
        <v>0</v>
      </c>
      <c r="F37" s="4">
        <f>tblKwReg2b[[#This Row],[Bedrag]]*(1-tblKwReg2b[[#This Row],[Korting%]])</f>
        <v>79</v>
      </c>
    </row>
    <row r="38" spans="2:8">
      <c r="B38" t="s">
        <v>7</v>
      </c>
      <c r="C38" t="s">
        <v>9</v>
      </c>
      <c r="D38" s="7">
        <v>75</v>
      </c>
      <c r="E38" s="1">
        <f>IF(tblKwReg2b[[#This Row],[Bedrag]]&gt;100,10%,0)</f>
        <v>0</v>
      </c>
      <c r="F38" s="4">
        <f>tblKwReg2b[[#This Row],[Bedrag]]*(1-tblKwReg2b[[#This Row],[Korting%]])</f>
        <v>75</v>
      </c>
    </row>
    <row r="39" spans="2:8">
      <c r="B39" t="s">
        <v>5</v>
      </c>
      <c r="C39" t="s">
        <v>6</v>
      </c>
      <c r="D39" s="7">
        <v>117</v>
      </c>
      <c r="E39" s="1">
        <f>IF(tblKwReg2b[[#This Row],[Bedrag]]&gt;100,10%,0)</f>
        <v>0.1</v>
      </c>
      <c r="F39" s="4">
        <f>tblKwReg2b[[#This Row],[Bedrag]]*(1-tblKwReg2b[[#This Row],[Korting%]])</f>
        <v>105.3</v>
      </c>
    </row>
    <row r="40" spans="2:8">
      <c r="B40" t="s">
        <v>7</v>
      </c>
      <c r="C40" t="s">
        <v>9</v>
      </c>
      <c r="D40" s="7">
        <v>106</v>
      </c>
      <c r="E40" s="1">
        <f>IF(tblKwReg2b[[#This Row],[Bedrag]]&gt;100,10%,0)</f>
        <v>0.1</v>
      </c>
      <c r="F40" s="4">
        <f>tblKwReg2b[[#This Row],[Bedrag]]*(1-tblKwReg2b[[#This Row],[Korting%]])</f>
        <v>95.4</v>
      </c>
    </row>
    <row r="41" spans="2:8">
      <c r="B41" t="s">
        <v>8</v>
      </c>
      <c r="C41" t="s">
        <v>9</v>
      </c>
      <c r="D41" s="7">
        <v>81</v>
      </c>
      <c r="E41" s="1">
        <f>IF(tblKwReg2b[[#This Row],[Bedrag]]&gt;100,10%,0)</f>
        <v>0</v>
      </c>
      <c r="F41" s="4">
        <f>tblKwReg2b[[#This Row],[Bedrag]]*(1-tblKwReg2b[[#This Row],[Korting%]])</f>
        <v>81</v>
      </c>
    </row>
    <row r="42" spans="2:8">
      <c r="B42" t="s">
        <v>5</v>
      </c>
      <c r="C42" t="s">
        <v>6</v>
      </c>
      <c r="D42" s="7">
        <v>82</v>
      </c>
      <c r="E42" s="1">
        <f>IF(tblKwReg2b[[#This Row],[Bedrag]]&gt;100,10%,0)</f>
        <v>0</v>
      </c>
      <c r="F42" s="4">
        <f>tblKwReg2b[[#This Row],[Bedrag]]*(1-tblKwReg2b[[#This Row],[Korting%]])</f>
        <v>82</v>
      </c>
    </row>
    <row r="43" spans="2:8">
      <c r="B43" t="s">
        <v>17</v>
      </c>
      <c r="D43" s="8">
        <f>SUBTOTAL(109,tblKwReg2b[Bedrag])</f>
        <v>4048</v>
      </c>
      <c r="E43" s="10">
        <f>SUBTOTAL(101,tblKwReg2b[Korting%])</f>
        <v>5.7500000000000016E-2</v>
      </c>
      <c r="F43" s="11">
        <f>SUBTOTAL(109,tblKwReg2b[Bedrag 
incl. korting])</f>
        <v>3789.9</v>
      </c>
      <c r="H43" s="4"/>
    </row>
    <row r="44" spans="2:8">
      <c r="H44" s="4"/>
    </row>
  </sheetData>
  <pageMargins left="0.7" right="0.7" top="0.75" bottom="0.75" header="0.3" footer="0.3"/>
  <tableParts count="3">
    <tablePart r:id="rId2"/>
    <tablePart r:id="rId3"/>
    <tablePart r:id="rId4"/>
  </tablePart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3"/>
  <sheetViews>
    <sheetView workbookViewId="0"/>
  </sheetViews>
  <sheetFormatPr baseColWidth="10" defaultColWidth="8.83203125" defaultRowHeight="12" x14ac:dyDescent="0"/>
  <cols>
    <col min="1" max="1" width="3.33203125" customWidth="1"/>
    <col min="2" max="2" width="11.5" bestFit="1" customWidth="1"/>
    <col min="3" max="3" width="8.5" bestFit="1" customWidth="1"/>
    <col min="4" max="4" width="9.83203125" bestFit="1" customWidth="1"/>
    <col min="5" max="5" width="11.33203125" bestFit="1" customWidth="1"/>
    <col min="6" max="6" width="14" bestFit="1" customWidth="1"/>
    <col min="7" max="7" width="11.6640625" bestFit="1" customWidth="1"/>
    <col min="8" max="8" width="22.83203125" bestFit="1" customWidth="1"/>
    <col min="9" max="9" width="36" bestFit="1" customWidth="1"/>
  </cols>
  <sheetData>
    <row r="2" spans="2:7" s="2" customFormat="1" ht="27" customHeight="1">
      <c r="B2" s="2" t="s">
        <v>0</v>
      </c>
      <c r="C2" s="2" t="s">
        <v>1</v>
      </c>
      <c r="D2" s="32" t="s">
        <v>2</v>
      </c>
      <c r="E2" s="33" t="s">
        <v>23</v>
      </c>
      <c r="F2" s="32" t="s">
        <v>3</v>
      </c>
      <c r="G2" s="33" t="s">
        <v>4</v>
      </c>
    </row>
    <row r="3" spans="2:7">
      <c r="B3" t="s">
        <v>5</v>
      </c>
      <c r="C3" t="s">
        <v>6</v>
      </c>
      <c r="D3" s="28">
        <v>106</v>
      </c>
      <c r="E3" s="29">
        <f>tblKwReg2c[[#This Row],[Bedrag]]/tblKwReg2c[[#Totals],[Bedrag]]</f>
        <v>2.6185770750988144E-2</v>
      </c>
      <c r="F3" s="30">
        <f>IF(tblKwReg2c[[#This Row],[Bedrag]]&gt;100,10%,0)</f>
        <v>0.1</v>
      </c>
      <c r="G3" s="31">
        <f>tblKwReg2c[[#This Row],[Bedrag]]*(1-tblKwReg2c[[#This Row],[Korting%]])</f>
        <v>95.4</v>
      </c>
    </row>
    <row r="4" spans="2:7">
      <c r="B4" t="s">
        <v>7</v>
      </c>
      <c r="C4" t="s">
        <v>6</v>
      </c>
      <c r="D4" s="28">
        <v>122</v>
      </c>
      <c r="E4" s="29">
        <f>tblKwReg2c[[#This Row],[Bedrag]]/tblKwReg2c[[#Totals],[Bedrag]]</f>
        <v>3.0138339920948616E-2</v>
      </c>
      <c r="F4" s="30">
        <f>IF(tblKwReg2c[[#This Row],[Bedrag]]&gt;100,10%,0)</f>
        <v>0.1</v>
      </c>
      <c r="G4" s="31">
        <f>tblKwReg2c[[#This Row],[Bedrag]]*(1-tblKwReg2c[[#This Row],[Korting%]])</f>
        <v>109.8</v>
      </c>
    </row>
    <row r="5" spans="2:7">
      <c r="B5" t="s">
        <v>8</v>
      </c>
      <c r="C5" t="s">
        <v>6</v>
      </c>
      <c r="D5" s="28">
        <v>118</v>
      </c>
      <c r="E5" s="29">
        <f>tblKwReg2c[[#This Row],[Bedrag]]/tblKwReg2c[[#Totals],[Bedrag]]</f>
        <v>2.91501976284585E-2</v>
      </c>
      <c r="F5" s="30">
        <f>IF(tblKwReg2c[[#This Row],[Bedrag]]&gt;100,10%,0)</f>
        <v>0.1</v>
      </c>
      <c r="G5" s="31">
        <f>tblKwReg2c[[#This Row],[Bedrag]]*(1-tblKwReg2c[[#This Row],[Korting%]])</f>
        <v>106.2</v>
      </c>
    </row>
    <row r="6" spans="2:7">
      <c r="B6" t="s">
        <v>7</v>
      </c>
      <c r="C6" t="s">
        <v>9</v>
      </c>
      <c r="D6" s="28">
        <v>102</v>
      </c>
      <c r="E6" s="29">
        <f>tblKwReg2c[[#This Row],[Bedrag]]/tblKwReg2c[[#Totals],[Bedrag]]</f>
        <v>2.5197628458498024E-2</v>
      </c>
      <c r="F6" s="30">
        <f>IF(tblKwReg2c[[#This Row],[Bedrag]]&gt;100,10%,0)</f>
        <v>0.1</v>
      </c>
      <c r="G6" s="31">
        <f>tblKwReg2c[[#This Row],[Bedrag]]*(1-tblKwReg2c[[#This Row],[Korting%]])</f>
        <v>91.8</v>
      </c>
    </row>
    <row r="7" spans="2:7">
      <c r="B7" t="s">
        <v>5</v>
      </c>
      <c r="C7" t="s">
        <v>9</v>
      </c>
      <c r="D7" s="28">
        <v>112</v>
      </c>
      <c r="E7" s="29">
        <f>tblKwReg2c[[#This Row],[Bedrag]]/tblKwReg2c[[#Totals],[Bedrag]]</f>
        <v>2.766798418972332E-2</v>
      </c>
      <c r="F7" s="30">
        <f>IF(tblKwReg2c[[#This Row],[Bedrag]]&gt;100,10%,0)</f>
        <v>0.1</v>
      </c>
      <c r="G7" s="31">
        <f>tblKwReg2c[[#This Row],[Bedrag]]*(1-tblKwReg2c[[#This Row],[Korting%]])</f>
        <v>100.8</v>
      </c>
    </row>
    <row r="8" spans="2:7">
      <c r="B8" t="s">
        <v>5</v>
      </c>
      <c r="C8" t="s">
        <v>9</v>
      </c>
      <c r="D8" s="28">
        <v>104</v>
      </c>
      <c r="E8" s="29">
        <f>tblKwReg2c[[#This Row],[Bedrag]]/tblKwReg2c[[#Totals],[Bedrag]]</f>
        <v>2.5691699604743084E-2</v>
      </c>
      <c r="F8" s="30">
        <f>IF(tblKwReg2c[[#This Row],[Bedrag]]&gt;100,10%,0)</f>
        <v>0.1</v>
      </c>
      <c r="G8" s="31">
        <f>tblKwReg2c[[#This Row],[Bedrag]]*(1-tblKwReg2c[[#This Row],[Korting%]])</f>
        <v>93.600000000000009</v>
      </c>
    </row>
    <row r="9" spans="2:7">
      <c r="B9" t="s">
        <v>10</v>
      </c>
      <c r="C9" t="s">
        <v>9</v>
      </c>
      <c r="D9" s="28">
        <v>100</v>
      </c>
      <c r="E9" s="29">
        <f>tblKwReg2c[[#This Row],[Bedrag]]/tblKwReg2c[[#Totals],[Bedrag]]</f>
        <v>2.4703557312252964E-2</v>
      </c>
      <c r="F9" s="30">
        <f>IF(tblKwReg2c[[#This Row],[Bedrag]]&gt;100,10%,0)</f>
        <v>0</v>
      </c>
      <c r="G9" s="31">
        <f>tblKwReg2c[[#This Row],[Bedrag]]*(1-tblKwReg2c[[#This Row],[Korting%]])</f>
        <v>100</v>
      </c>
    </row>
    <row r="10" spans="2:7">
      <c r="B10" t="s">
        <v>10</v>
      </c>
      <c r="C10" t="s">
        <v>6</v>
      </c>
      <c r="D10" s="28">
        <v>125</v>
      </c>
      <c r="E10" s="29">
        <f>tblKwReg2c[[#This Row],[Bedrag]]/tblKwReg2c[[#Totals],[Bedrag]]</f>
        <v>3.0879446640316204E-2</v>
      </c>
      <c r="F10" s="30">
        <f>IF(tblKwReg2c[[#This Row],[Bedrag]]&gt;100,10%,0)</f>
        <v>0.1</v>
      </c>
      <c r="G10" s="31">
        <f>tblKwReg2c[[#This Row],[Bedrag]]*(1-tblKwReg2c[[#This Row],[Korting%]])</f>
        <v>112.5</v>
      </c>
    </row>
    <row r="11" spans="2:7">
      <c r="B11" t="s">
        <v>5</v>
      </c>
      <c r="C11" t="s">
        <v>6</v>
      </c>
      <c r="D11" s="28">
        <v>93</v>
      </c>
      <c r="E11" s="29">
        <f>tblKwReg2c[[#This Row],[Bedrag]]/tblKwReg2c[[#Totals],[Bedrag]]</f>
        <v>2.2974308300395256E-2</v>
      </c>
      <c r="F11" s="30">
        <f>IF(tblKwReg2c[[#This Row],[Bedrag]]&gt;100,10%,0)</f>
        <v>0</v>
      </c>
      <c r="G11" s="31">
        <f>tblKwReg2c[[#This Row],[Bedrag]]*(1-tblKwReg2c[[#This Row],[Korting%]])</f>
        <v>93</v>
      </c>
    </row>
    <row r="12" spans="2:7">
      <c r="B12" t="s">
        <v>5</v>
      </c>
      <c r="C12" t="s">
        <v>9</v>
      </c>
      <c r="D12" s="28">
        <v>118</v>
      </c>
      <c r="E12" s="29">
        <f>tblKwReg2c[[#This Row],[Bedrag]]/tblKwReg2c[[#Totals],[Bedrag]]</f>
        <v>2.91501976284585E-2</v>
      </c>
      <c r="F12" s="30">
        <f>IF(tblKwReg2c[[#This Row],[Bedrag]]&gt;100,10%,0)</f>
        <v>0.1</v>
      </c>
      <c r="G12" s="31">
        <f>tblKwReg2c[[#This Row],[Bedrag]]*(1-tblKwReg2c[[#This Row],[Korting%]])</f>
        <v>106.2</v>
      </c>
    </row>
    <row r="13" spans="2:7">
      <c r="B13" t="s">
        <v>10</v>
      </c>
      <c r="C13" t="s">
        <v>6</v>
      </c>
      <c r="D13" s="28">
        <v>105</v>
      </c>
      <c r="E13" s="29">
        <f>tblKwReg2c[[#This Row],[Bedrag]]/tblKwReg2c[[#Totals],[Bedrag]]</f>
        <v>2.5938735177865612E-2</v>
      </c>
      <c r="F13" s="30">
        <f>IF(tblKwReg2c[[#This Row],[Bedrag]]&gt;100,10%,0)</f>
        <v>0.1</v>
      </c>
      <c r="G13" s="31">
        <f>tblKwReg2c[[#This Row],[Bedrag]]*(1-tblKwReg2c[[#This Row],[Korting%]])</f>
        <v>94.5</v>
      </c>
    </row>
    <row r="14" spans="2:7">
      <c r="B14" t="s">
        <v>8</v>
      </c>
      <c r="C14" t="s">
        <v>6</v>
      </c>
      <c r="D14" s="28">
        <v>121</v>
      </c>
      <c r="E14" s="29">
        <f>tblKwReg2c[[#This Row],[Bedrag]]/tblKwReg2c[[#Totals],[Bedrag]]</f>
        <v>2.9891304347826088E-2</v>
      </c>
      <c r="F14" s="30">
        <f>IF(tblKwReg2c[[#This Row],[Bedrag]]&gt;100,10%,0)</f>
        <v>0.1</v>
      </c>
      <c r="G14" s="31">
        <f>tblKwReg2c[[#This Row],[Bedrag]]*(1-tblKwReg2c[[#This Row],[Korting%]])</f>
        <v>108.9</v>
      </c>
    </row>
    <row r="15" spans="2:7">
      <c r="B15" t="s">
        <v>7</v>
      </c>
      <c r="C15" t="s">
        <v>6</v>
      </c>
      <c r="D15" s="28">
        <v>91</v>
      </c>
      <c r="E15" s="29">
        <f>tblKwReg2c[[#This Row],[Bedrag]]/tblKwReg2c[[#Totals],[Bedrag]]</f>
        <v>2.2480237154150196E-2</v>
      </c>
      <c r="F15" s="30">
        <f>IF(tblKwReg2c[[#This Row],[Bedrag]]&gt;100,10%,0)</f>
        <v>0</v>
      </c>
      <c r="G15" s="31">
        <f>tblKwReg2c[[#This Row],[Bedrag]]*(1-tblKwReg2c[[#This Row],[Korting%]])</f>
        <v>91</v>
      </c>
    </row>
    <row r="16" spans="2:7">
      <c r="B16" t="s">
        <v>10</v>
      </c>
      <c r="C16" t="s">
        <v>9</v>
      </c>
      <c r="D16" s="28">
        <v>121</v>
      </c>
      <c r="E16" s="29">
        <f>tblKwReg2c[[#This Row],[Bedrag]]/tblKwReg2c[[#Totals],[Bedrag]]</f>
        <v>2.9891304347826088E-2</v>
      </c>
      <c r="F16" s="30">
        <f>IF(tblKwReg2c[[#This Row],[Bedrag]]&gt;100,10%,0)</f>
        <v>0.1</v>
      </c>
      <c r="G16" s="31">
        <f>tblKwReg2c[[#This Row],[Bedrag]]*(1-tblKwReg2c[[#This Row],[Korting%]])</f>
        <v>108.9</v>
      </c>
    </row>
    <row r="17" spans="2:7">
      <c r="B17" t="s">
        <v>8</v>
      </c>
      <c r="C17" t="s">
        <v>9</v>
      </c>
      <c r="D17" s="28">
        <v>89</v>
      </c>
      <c r="E17" s="29">
        <f>tblKwReg2c[[#This Row],[Bedrag]]/tblKwReg2c[[#Totals],[Bedrag]]</f>
        <v>2.198616600790514E-2</v>
      </c>
      <c r="F17" s="30">
        <f>IF(tblKwReg2c[[#This Row],[Bedrag]]&gt;100,10%,0)</f>
        <v>0</v>
      </c>
      <c r="G17" s="31">
        <f>tblKwReg2c[[#This Row],[Bedrag]]*(1-tblKwReg2c[[#This Row],[Korting%]])</f>
        <v>89</v>
      </c>
    </row>
    <row r="18" spans="2:7">
      <c r="B18" t="s">
        <v>8</v>
      </c>
      <c r="C18" t="s">
        <v>6</v>
      </c>
      <c r="D18" s="28">
        <v>112</v>
      </c>
      <c r="E18" s="29">
        <f>tblKwReg2c[[#This Row],[Bedrag]]/tblKwReg2c[[#Totals],[Bedrag]]</f>
        <v>2.766798418972332E-2</v>
      </c>
      <c r="F18" s="30">
        <f>IF(tblKwReg2c[[#This Row],[Bedrag]]&gt;100,10%,0)</f>
        <v>0.1</v>
      </c>
      <c r="G18" s="31">
        <f>tblKwReg2c[[#This Row],[Bedrag]]*(1-tblKwReg2c[[#This Row],[Korting%]])</f>
        <v>100.8</v>
      </c>
    </row>
    <row r="19" spans="2:7">
      <c r="B19" t="s">
        <v>5</v>
      </c>
      <c r="C19" t="s">
        <v>6</v>
      </c>
      <c r="D19" s="28">
        <v>92</v>
      </c>
      <c r="E19" s="29">
        <f>tblKwReg2c[[#This Row],[Bedrag]]/tblKwReg2c[[#Totals],[Bedrag]]</f>
        <v>2.2727272727272728E-2</v>
      </c>
      <c r="F19" s="30">
        <f>IF(tblKwReg2c[[#This Row],[Bedrag]]&gt;100,10%,0)</f>
        <v>0</v>
      </c>
      <c r="G19" s="31">
        <f>tblKwReg2c[[#This Row],[Bedrag]]*(1-tblKwReg2c[[#This Row],[Korting%]])</f>
        <v>92</v>
      </c>
    </row>
    <row r="20" spans="2:7">
      <c r="B20" t="s">
        <v>8</v>
      </c>
      <c r="C20" t="s">
        <v>6</v>
      </c>
      <c r="D20" s="28">
        <v>95</v>
      </c>
      <c r="E20" s="29">
        <f>tblKwReg2c[[#This Row],[Bedrag]]/tblKwReg2c[[#Totals],[Bedrag]]</f>
        <v>2.3468379446640316E-2</v>
      </c>
      <c r="F20" s="30">
        <f>IF(tblKwReg2c[[#This Row],[Bedrag]]&gt;100,10%,0)</f>
        <v>0</v>
      </c>
      <c r="G20" s="31">
        <f>tblKwReg2c[[#This Row],[Bedrag]]*(1-tblKwReg2c[[#This Row],[Korting%]])</f>
        <v>95</v>
      </c>
    </row>
    <row r="21" spans="2:7">
      <c r="B21" t="s">
        <v>10</v>
      </c>
      <c r="C21" t="s">
        <v>6</v>
      </c>
      <c r="D21" s="28">
        <v>93</v>
      </c>
      <c r="E21" s="29">
        <f>tblKwReg2c[[#This Row],[Bedrag]]/tblKwReg2c[[#Totals],[Bedrag]]</f>
        <v>2.2974308300395256E-2</v>
      </c>
      <c r="F21" s="30">
        <f>IF(tblKwReg2c[[#This Row],[Bedrag]]&gt;100,10%,0)</f>
        <v>0</v>
      </c>
      <c r="G21" s="31">
        <f>tblKwReg2c[[#This Row],[Bedrag]]*(1-tblKwReg2c[[#This Row],[Korting%]])</f>
        <v>93</v>
      </c>
    </row>
    <row r="22" spans="2:7">
      <c r="B22" t="s">
        <v>5</v>
      </c>
      <c r="C22" t="s">
        <v>6</v>
      </c>
      <c r="D22" s="28">
        <v>79</v>
      </c>
      <c r="E22" s="29">
        <f>tblKwReg2c[[#This Row],[Bedrag]]/tblKwReg2c[[#Totals],[Bedrag]]</f>
        <v>1.951581027667984E-2</v>
      </c>
      <c r="F22" s="30">
        <f>IF(tblKwReg2c[[#This Row],[Bedrag]]&gt;100,10%,0)</f>
        <v>0</v>
      </c>
      <c r="G22" s="31">
        <f>tblKwReg2c[[#This Row],[Bedrag]]*(1-tblKwReg2c[[#This Row],[Korting%]])</f>
        <v>79</v>
      </c>
    </row>
    <row r="23" spans="2:7">
      <c r="B23" t="s">
        <v>8</v>
      </c>
      <c r="C23" t="s">
        <v>9</v>
      </c>
      <c r="D23" s="28">
        <v>111</v>
      </c>
      <c r="E23" s="29">
        <f>tblKwReg2c[[#This Row],[Bedrag]]/tblKwReg2c[[#Totals],[Bedrag]]</f>
        <v>2.7420948616600792E-2</v>
      </c>
      <c r="F23" s="30">
        <f>IF(tblKwReg2c[[#This Row],[Bedrag]]&gt;100,10%,0)</f>
        <v>0.1</v>
      </c>
      <c r="G23" s="31">
        <f>tblKwReg2c[[#This Row],[Bedrag]]*(1-tblKwReg2c[[#This Row],[Korting%]])</f>
        <v>99.9</v>
      </c>
    </row>
    <row r="24" spans="2:7">
      <c r="B24" t="s">
        <v>10</v>
      </c>
      <c r="C24" t="s">
        <v>9</v>
      </c>
      <c r="D24" s="28">
        <v>92</v>
      </c>
      <c r="E24" s="29">
        <f>tblKwReg2c[[#This Row],[Bedrag]]/tblKwReg2c[[#Totals],[Bedrag]]</f>
        <v>2.2727272727272728E-2</v>
      </c>
      <c r="F24" s="30">
        <f>IF(tblKwReg2c[[#This Row],[Bedrag]]&gt;100,10%,0)</f>
        <v>0</v>
      </c>
      <c r="G24" s="31">
        <f>tblKwReg2c[[#This Row],[Bedrag]]*(1-tblKwReg2c[[#This Row],[Korting%]])</f>
        <v>92</v>
      </c>
    </row>
    <row r="25" spans="2:7">
      <c r="B25" t="s">
        <v>5</v>
      </c>
      <c r="C25" t="s">
        <v>6</v>
      </c>
      <c r="D25" s="28">
        <v>83</v>
      </c>
      <c r="E25" s="29">
        <f>tblKwReg2c[[#This Row],[Bedrag]]/tblKwReg2c[[#Totals],[Bedrag]]</f>
        <v>2.050395256916996E-2</v>
      </c>
      <c r="F25" s="30">
        <f>IF(tblKwReg2c[[#This Row],[Bedrag]]&gt;100,10%,0)</f>
        <v>0</v>
      </c>
      <c r="G25" s="31">
        <f>tblKwReg2c[[#This Row],[Bedrag]]*(1-tblKwReg2c[[#This Row],[Korting%]])</f>
        <v>83</v>
      </c>
    </row>
    <row r="26" spans="2:7">
      <c r="B26" t="s">
        <v>10</v>
      </c>
      <c r="C26" t="s">
        <v>6</v>
      </c>
      <c r="D26" s="28">
        <v>102</v>
      </c>
      <c r="E26" s="29">
        <f>tblKwReg2c[[#This Row],[Bedrag]]/tblKwReg2c[[#Totals],[Bedrag]]</f>
        <v>2.5197628458498024E-2</v>
      </c>
      <c r="F26" s="30">
        <f>IF(tblKwReg2c[[#This Row],[Bedrag]]&gt;100,10%,0)</f>
        <v>0.1</v>
      </c>
      <c r="G26" s="31">
        <f>tblKwReg2c[[#This Row],[Bedrag]]*(1-tblKwReg2c[[#This Row],[Korting%]])</f>
        <v>91.8</v>
      </c>
    </row>
    <row r="27" spans="2:7">
      <c r="B27" t="s">
        <v>8</v>
      </c>
      <c r="C27" t="s">
        <v>9</v>
      </c>
      <c r="D27" s="28">
        <v>83</v>
      </c>
      <c r="E27" s="29">
        <f>tblKwReg2c[[#This Row],[Bedrag]]/tblKwReg2c[[#Totals],[Bedrag]]</f>
        <v>2.050395256916996E-2</v>
      </c>
      <c r="F27" s="30">
        <f>IF(tblKwReg2c[[#This Row],[Bedrag]]&gt;100,10%,0)</f>
        <v>0</v>
      </c>
      <c r="G27" s="31">
        <f>tblKwReg2c[[#This Row],[Bedrag]]*(1-tblKwReg2c[[#This Row],[Korting%]])</f>
        <v>83</v>
      </c>
    </row>
    <row r="28" spans="2:7">
      <c r="B28" t="s">
        <v>8</v>
      </c>
      <c r="C28" t="s">
        <v>9</v>
      </c>
      <c r="D28" s="28">
        <v>109</v>
      </c>
      <c r="E28" s="29">
        <f>tblKwReg2c[[#This Row],[Bedrag]]/tblKwReg2c[[#Totals],[Bedrag]]</f>
        <v>2.6926877470355732E-2</v>
      </c>
      <c r="F28" s="30">
        <f>IF(tblKwReg2c[[#This Row],[Bedrag]]&gt;100,10%,0)</f>
        <v>0.1</v>
      </c>
      <c r="G28" s="31">
        <f>tblKwReg2c[[#This Row],[Bedrag]]*(1-tblKwReg2c[[#This Row],[Korting%]])</f>
        <v>98.100000000000009</v>
      </c>
    </row>
    <row r="29" spans="2:7">
      <c r="B29" t="s">
        <v>10</v>
      </c>
      <c r="C29" t="s">
        <v>9</v>
      </c>
      <c r="D29" s="28">
        <v>84</v>
      </c>
      <c r="E29" s="29">
        <f>tblKwReg2c[[#This Row],[Bedrag]]/tblKwReg2c[[#Totals],[Bedrag]]</f>
        <v>2.0750988142292492E-2</v>
      </c>
      <c r="F29" s="30">
        <f>IF(tblKwReg2c[[#This Row],[Bedrag]]&gt;100,10%,0)</f>
        <v>0</v>
      </c>
      <c r="G29" s="31">
        <f>tblKwReg2c[[#This Row],[Bedrag]]*(1-tblKwReg2c[[#This Row],[Korting%]])</f>
        <v>84</v>
      </c>
    </row>
    <row r="30" spans="2:7">
      <c r="B30" t="s">
        <v>10</v>
      </c>
      <c r="C30" t="s">
        <v>9</v>
      </c>
      <c r="D30" s="28">
        <v>104</v>
      </c>
      <c r="E30" s="29">
        <f>tblKwReg2c[[#This Row],[Bedrag]]/tblKwReg2c[[#Totals],[Bedrag]]</f>
        <v>2.5691699604743084E-2</v>
      </c>
      <c r="F30" s="30">
        <f>IF(tblKwReg2c[[#This Row],[Bedrag]]&gt;100,10%,0)</f>
        <v>0.1</v>
      </c>
      <c r="G30" s="31">
        <f>tblKwReg2c[[#This Row],[Bedrag]]*(1-tblKwReg2c[[#This Row],[Korting%]])</f>
        <v>93.600000000000009</v>
      </c>
    </row>
    <row r="31" spans="2:7">
      <c r="B31" t="s">
        <v>10</v>
      </c>
      <c r="C31" t="s">
        <v>6</v>
      </c>
      <c r="D31" s="28">
        <v>110</v>
      </c>
      <c r="E31" s="29">
        <f>tblKwReg2c[[#This Row],[Bedrag]]/tblKwReg2c[[#Totals],[Bedrag]]</f>
        <v>2.717391304347826E-2</v>
      </c>
      <c r="F31" s="30">
        <f>IF(tblKwReg2c[[#This Row],[Bedrag]]&gt;100,10%,0)</f>
        <v>0.1</v>
      </c>
      <c r="G31" s="31">
        <f>tblKwReg2c[[#This Row],[Bedrag]]*(1-tblKwReg2c[[#This Row],[Korting%]])</f>
        <v>99</v>
      </c>
    </row>
    <row r="32" spans="2:7">
      <c r="B32" t="s">
        <v>5</v>
      </c>
      <c r="C32" t="s">
        <v>9</v>
      </c>
      <c r="D32" s="28">
        <v>124</v>
      </c>
      <c r="E32" s="29">
        <f>tblKwReg2c[[#This Row],[Bedrag]]/tblKwReg2c[[#Totals],[Bedrag]]</f>
        <v>3.0632411067193676E-2</v>
      </c>
      <c r="F32" s="30">
        <f>IF(tblKwReg2c[[#This Row],[Bedrag]]&gt;100,10%,0)</f>
        <v>0.1</v>
      </c>
      <c r="G32" s="31">
        <f>tblKwReg2c[[#This Row],[Bedrag]]*(1-tblKwReg2c[[#This Row],[Korting%]])</f>
        <v>111.60000000000001</v>
      </c>
    </row>
    <row r="33" spans="2:7">
      <c r="B33" t="s">
        <v>8</v>
      </c>
      <c r="C33" t="s">
        <v>9</v>
      </c>
      <c r="D33" s="28">
        <v>125</v>
      </c>
      <c r="E33" s="29">
        <f>tblKwReg2c[[#This Row],[Bedrag]]/tblKwReg2c[[#Totals],[Bedrag]]</f>
        <v>3.0879446640316204E-2</v>
      </c>
      <c r="F33" s="30">
        <f>IF(tblKwReg2c[[#This Row],[Bedrag]]&gt;100,10%,0)</f>
        <v>0.1</v>
      </c>
      <c r="G33" s="31">
        <f>tblKwReg2c[[#This Row],[Bedrag]]*(1-tblKwReg2c[[#This Row],[Korting%]])</f>
        <v>112.5</v>
      </c>
    </row>
    <row r="34" spans="2:7">
      <c r="B34" t="s">
        <v>5</v>
      </c>
      <c r="C34" t="s">
        <v>9</v>
      </c>
      <c r="D34" s="28">
        <v>76</v>
      </c>
      <c r="E34" s="29">
        <f>tblKwReg2c[[#This Row],[Bedrag]]/tblKwReg2c[[#Totals],[Bedrag]]</f>
        <v>1.8774703557312252E-2</v>
      </c>
      <c r="F34" s="30">
        <f>IF(tblKwReg2c[[#This Row],[Bedrag]]&gt;100,10%,0)</f>
        <v>0</v>
      </c>
      <c r="G34" s="31">
        <f>tblKwReg2c[[#This Row],[Bedrag]]*(1-tblKwReg2c[[#This Row],[Korting%]])</f>
        <v>76</v>
      </c>
    </row>
    <row r="35" spans="2:7">
      <c r="B35" t="s">
        <v>10</v>
      </c>
      <c r="C35" t="s">
        <v>9</v>
      </c>
      <c r="D35" s="28">
        <v>104</v>
      </c>
      <c r="E35" s="29">
        <f>tblKwReg2c[[#This Row],[Bedrag]]/tblKwReg2c[[#Totals],[Bedrag]]</f>
        <v>2.5691699604743084E-2</v>
      </c>
      <c r="F35" s="30">
        <f>IF(tblKwReg2c[[#This Row],[Bedrag]]&gt;100,10%,0)</f>
        <v>0.1</v>
      </c>
      <c r="G35" s="31">
        <f>tblKwReg2c[[#This Row],[Bedrag]]*(1-tblKwReg2c[[#This Row],[Korting%]])</f>
        <v>93.600000000000009</v>
      </c>
    </row>
    <row r="36" spans="2:7">
      <c r="B36" t="s">
        <v>10</v>
      </c>
      <c r="C36" t="s">
        <v>6</v>
      </c>
      <c r="D36" s="28">
        <v>103</v>
      </c>
      <c r="E36" s="29">
        <f>tblKwReg2c[[#This Row],[Bedrag]]/tblKwReg2c[[#Totals],[Bedrag]]</f>
        <v>2.5444664031620552E-2</v>
      </c>
      <c r="F36" s="30">
        <f>IF(tblKwReg2c[[#This Row],[Bedrag]]&gt;100,10%,0)</f>
        <v>0.1</v>
      </c>
      <c r="G36" s="31">
        <f>tblKwReg2c[[#This Row],[Bedrag]]*(1-tblKwReg2c[[#This Row],[Korting%]])</f>
        <v>92.7</v>
      </c>
    </row>
    <row r="37" spans="2:7">
      <c r="B37" t="s">
        <v>8</v>
      </c>
      <c r="C37" t="s">
        <v>9</v>
      </c>
      <c r="D37" s="28">
        <v>79</v>
      </c>
      <c r="E37" s="29">
        <f>tblKwReg2c[[#This Row],[Bedrag]]/tblKwReg2c[[#Totals],[Bedrag]]</f>
        <v>1.951581027667984E-2</v>
      </c>
      <c r="F37" s="30">
        <f>IF(tblKwReg2c[[#This Row],[Bedrag]]&gt;100,10%,0)</f>
        <v>0</v>
      </c>
      <c r="G37" s="31">
        <f>tblKwReg2c[[#This Row],[Bedrag]]*(1-tblKwReg2c[[#This Row],[Korting%]])</f>
        <v>79</v>
      </c>
    </row>
    <row r="38" spans="2:7">
      <c r="B38" t="s">
        <v>7</v>
      </c>
      <c r="C38" t="s">
        <v>9</v>
      </c>
      <c r="D38" s="28">
        <v>75</v>
      </c>
      <c r="E38" s="29">
        <f>tblKwReg2c[[#This Row],[Bedrag]]/tblKwReg2c[[#Totals],[Bedrag]]</f>
        <v>1.8527667984189724E-2</v>
      </c>
      <c r="F38" s="30">
        <f>IF(tblKwReg2c[[#This Row],[Bedrag]]&gt;100,10%,0)</f>
        <v>0</v>
      </c>
      <c r="G38" s="31">
        <f>tblKwReg2c[[#This Row],[Bedrag]]*(1-tblKwReg2c[[#This Row],[Korting%]])</f>
        <v>75</v>
      </c>
    </row>
    <row r="39" spans="2:7">
      <c r="B39" t="s">
        <v>5</v>
      </c>
      <c r="C39" t="s">
        <v>6</v>
      </c>
      <c r="D39" s="28">
        <v>117</v>
      </c>
      <c r="E39" s="29">
        <f>tblKwReg2c[[#This Row],[Bedrag]]/tblKwReg2c[[#Totals],[Bedrag]]</f>
        <v>2.8903162055335968E-2</v>
      </c>
      <c r="F39" s="30">
        <f>IF(tblKwReg2c[[#This Row],[Bedrag]]&gt;100,10%,0)</f>
        <v>0.1</v>
      </c>
      <c r="G39" s="31">
        <f>tblKwReg2c[[#This Row],[Bedrag]]*(1-tblKwReg2c[[#This Row],[Korting%]])</f>
        <v>105.3</v>
      </c>
    </row>
    <row r="40" spans="2:7">
      <c r="B40" t="s">
        <v>7</v>
      </c>
      <c r="C40" t="s">
        <v>9</v>
      </c>
      <c r="D40" s="28">
        <v>106</v>
      </c>
      <c r="E40" s="29">
        <f>tblKwReg2c[[#This Row],[Bedrag]]/tblKwReg2c[[#Totals],[Bedrag]]</f>
        <v>2.6185770750988144E-2</v>
      </c>
      <c r="F40" s="30">
        <f>IF(tblKwReg2c[[#This Row],[Bedrag]]&gt;100,10%,0)</f>
        <v>0.1</v>
      </c>
      <c r="G40" s="31">
        <f>tblKwReg2c[[#This Row],[Bedrag]]*(1-tblKwReg2c[[#This Row],[Korting%]])</f>
        <v>95.4</v>
      </c>
    </row>
    <row r="41" spans="2:7">
      <c r="B41" t="s">
        <v>8</v>
      </c>
      <c r="C41" t="s">
        <v>9</v>
      </c>
      <c r="D41" s="28">
        <v>81</v>
      </c>
      <c r="E41" s="29">
        <f>tblKwReg2c[[#This Row],[Bedrag]]/tblKwReg2c[[#Totals],[Bedrag]]</f>
        <v>2.00098814229249E-2</v>
      </c>
      <c r="F41" s="30">
        <f>IF(tblKwReg2c[[#This Row],[Bedrag]]&gt;100,10%,0)</f>
        <v>0</v>
      </c>
      <c r="G41" s="31">
        <f>tblKwReg2c[[#This Row],[Bedrag]]*(1-tblKwReg2c[[#This Row],[Korting%]])</f>
        <v>81</v>
      </c>
    </row>
    <row r="42" spans="2:7">
      <c r="B42" t="s">
        <v>5</v>
      </c>
      <c r="C42" t="s">
        <v>6</v>
      </c>
      <c r="D42" s="28">
        <v>82</v>
      </c>
      <c r="E42" s="29">
        <f>tblKwReg2c[[#This Row],[Bedrag]]/tblKwReg2c[[#Totals],[Bedrag]]</f>
        <v>2.0256916996047432E-2</v>
      </c>
      <c r="F42" s="30">
        <f>IF(tblKwReg2c[[#This Row],[Bedrag]]&gt;100,10%,0)</f>
        <v>0</v>
      </c>
      <c r="G42" s="31">
        <f>tblKwReg2c[[#This Row],[Bedrag]]*(1-tblKwReg2c[[#This Row],[Korting%]])</f>
        <v>82</v>
      </c>
    </row>
    <row r="43" spans="2:7">
      <c r="B43" t="s">
        <v>17</v>
      </c>
      <c r="D43" s="8">
        <f>SUBTOTAL(109,tblKwReg2c[Bedrag])</f>
        <v>4048</v>
      </c>
      <c r="E43" s="10">
        <f>SUBTOTAL(109,tblKwReg2c[% 
van totaal])</f>
        <v>1</v>
      </c>
      <c r="F43" s="9"/>
      <c r="G43" s="11">
        <f>SUBTOTAL(109,tblKwReg2c[Bedrag 
incl. korting])</f>
        <v>3789.9</v>
      </c>
    </row>
  </sheetData>
  <pageMargins left="0.7" right="0.7" top="0.75" bottom="0.75" header="0.3" footer="0.3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Voorblad</vt:lpstr>
      <vt:lpstr>CelRef</vt:lpstr>
      <vt:lpstr>TablRef</vt:lpstr>
      <vt:lpstr>TablRefTot</vt:lpstr>
      <vt:lpstr>TablRefTot2</vt:lpstr>
      <vt:lpstr>TablRefPerc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Gijs Verbruggen</dc:creator>
  <cp:lastModifiedBy>Gijs Verbruggen</cp:lastModifiedBy>
  <dcterms:created xsi:type="dcterms:W3CDTF">2018-10-19T09:04:00Z</dcterms:created>
  <dcterms:modified xsi:type="dcterms:W3CDTF">2018-10-19T18:10:52Z</dcterms:modified>
</cp:coreProperties>
</file>