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7E8AFBCC-46E7-438C-B0A8-C3B5970074E0}" xr6:coauthVersionLast="45" xr6:coauthVersionMax="45" xr10:uidLastSave="{00000000-0000-0000-0000-000000000000}"/>
  <bookViews>
    <workbookView xWindow="-108" yWindow="-108" windowWidth="23256" windowHeight="12576" xr2:uid="{0D995AA4-271C-406A-BEE5-CB696A9DE312}"/>
  </bookViews>
  <sheets>
    <sheet name="Voorblad" sheetId="7" r:id="rId1"/>
    <sheet name="Data" sheetId="1" r:id="rId2"/>
    <sheet name="Selectie" sheetId="2" r:id="rId3"/>
    <sheet name="Selectie2" sheetId="3" r:id="rId4"/>
    <sheet name="Selectie3" sheetId="5" r:id="rId5"/>
    <sheet name="Vergelijken" sheetId="6" r:id="rId6"/>
  </sheets>
  <definedNames>
    <definedName name="Eerst_later" localSheetId="3">Selectie2!$C$3</definedName>
    <definedName name="Eerst_later" localSheetId="4">Selectie3!$O$3</definedName>
    <definedName name="Eerst_later" localSheetId="5">Vergelijken!$N$7</definedName>
    <definedName name="Eerst_later">Selectie!$C$3</definedName>
    <definedName name="GebWeek" localSheetId="3">Selectie2!$C$4</definedName>
    <definedName name="GebWeek" localSheetId="4">Selectie3!$N$4</definedName>
    <definedName name="GebWeek" localSheetId="5">Vergelijken!#REF!</definedName>
    <definedName name="GebWeek">Selectie!$C$4</definedName>
    <definedName name="Geslacht" localSheetId="3">Selectie2!$C$2</definedName>
    <definedName name="Geslacht" localSheetId="4">Selectie3!$O$2</definedName>
    <definedName name="Geslacht" localSheetId="5">Vergelijken!$N$6</definedName>
    <definedName name="Geslacht">Selectie!$C$2</definedName>
    <definedName name="Naam">Vergelijken!$D$2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6" l="1"/>
  <c r="K40" i="6"/>
  <c r="K39" i="6"/>
  <c r="K38" i="6"/>
  <c r="K37" i="6"/>
  <c r="K36" i="6"/>
  <c r="K35" i="6"/>
  <c r="K34" i="6"/>
  <c r="N6" i="6"/>
  <c r="N7" i="6"/>
  <c r="G37" i="6"/>
  <c r="E37" i="6"/>
  <c r="F37" i="6"/>
  <c r="N10" i="6"/>
  <c r="G38" i="6"/>
  <c r="E38" i="6"/>
  <c r="D38" i="6"/>
  <c r="G36" i="6"/>
  <c r="E36" i="6"/>
  <c r="F36" i="6"/>
  <c r="N11" i="6"/>
  <c r="N12" i="6"/>
  <c r="O11" i="6"/>
  <c r="O12" i="6"/>
  <c r="N13" i="6"/>
  <c r="O13" i="6"/>
  <c r="O14" i="6"/>
  <c r="O15" i="6"/>
  <c r="M41" i="6"/>
  <c r="M40" i="6"/>
  <c r="G39" i="6"/>
  <c r="E39" i="6"/>
  <c r="D39" i="6"/>
  <c r="I39" i="6"/>
  <c r="J39" i="6"/>
  <c r="H39" i="6"/>
  <c r="D37" i="6"/>
  <c r="M39" i="6"/>
  <c r="M38" i="6"/>
  <c r="M37" i="6"/>
  <c r="M36" i="6"/>
  <c r="M35" i="6"/>
  <c r="M34" i="6"/>
  <c r="L41" i="6"/>
  <c r="L40" i="6"/>
  <c r="L39" i="6"/>
  <c r="L38" i="6"/>
  <c r="L37" i="6"/>
  <c r="L36" i="6"/>
  <c r="L35" i="6"/>
  <c r="L34" i="6"/>
  <c r="G35" i="6"/>
  <c r="H37" i="6"/>
  <c r="I37" i="6"/>
  <c r="J37" i="6"/>
  <c r="N41" i="6"/>
  <c r="N40" i="6"/>
  <c r="N39" i="6"/>
  <c r="N38" i="6"/>
  <c r="N37" i="6"/>
  <c r="N36" i="6"/>
  <c r="N35" i="6"/>
  <c r="N34" i="6"/>
  <c r="C37" i="6"/>
  <c r="C38" i="6"/>
  <c r="C35" i="6"/>
  <c r="C34" i="6"/>
  <c r="F38" i="6"/>
  <c r="F35" i="6"/>
  <c r="F34" i="6"/>
  <c r="H38" i="6"/>
  <c r="H35" i="6"/>
  <c r="H34" i="6"/>
  <c r="J38" i="6"/>
  <c r="J35" i="6"/>
  <c r="J34" i="6"/>
  <c r="I38" i="6"/>
  <c r="I35" i="6"/>
  <c r="I34" i="6"/>
  <c r="J41" i="6"/>
  <c r="I41" i="6"/>
  <c r="H41" i="6"/>
  <c r="G41" i="6"/>
  <c r="F41" i="6"/>
  <c r="E41" i="6"/>
  <c r="D41" i="6"/>
  <c r="C41" i="6"/>
  <c r="G34" i="6"/>
  <c r="J40" i="6"/>
  <c r="I40" i="6"/>
  <c r="H40" i="6"/>
  <c r="G40" i="6"/>
  <c r="F40" i="6"/>
  <c r="E40" i="6"/>
  <c r="D40" i="6"/>
  <c r="C40" i="6"/>
  <c r="F39" i="6"/>
  <c r="C39" i="6"/>
  <c r="E35" i="6"/>
  <c r="E34" i="6"/>
  <c r="D35" i="6"/>
  <c r="D34" i="6"/>
  <c r="J36" i="6"/>
  <c r="I36" i="6"/>
  <c r="H36" i="6"/>
  <c r="D36" i="6"/>
  <c r="C36" i="6"/>
  <c r="O6" i="6"/>
  <c r="O3" i="5"/>
  <c r="O2" i="5"/>
  <c r="J37" i="5"/>
  <c r="I37" i="5"/>
  <c r="H37" i="5"/>
  <c r="G37" i="5"/>
  <c r="F37" i="5"/>
  <c r="E37" i="5"/>
  <c r="D37" i="5"/>
  <c r="C37" i="5"/>
  <c r="J36" i="5"/>
  <c r="I36" i="5"/>
  <c r="H36" i="5"/>
  <c r="G36" i="5"/>
  <c r="F36" i="5"/>
  <c r="E36" i="5"/>
  <c r="D36" i="5"/>
  <c r="C36" i="5"/>
  <c r="J35" i="5"/>
  <c r="I35" i="5"/>
  <c r="H35" i="5"/>
  <c r="G35" i="5"/>
  <c r="F35" i="5"/>
  <c r="E35" i="5"/>
  <c r="D35" i="5"/>
  <c r="C35" i="5"/>
  <c r="J34" i="5"/>
  <c r="I34" i="5"/>
  <c r="H34" i="5"/>
  <c r="G34" i="5"/>
  <c r="F34" i="5"/>
  <c r="E34" i="5"/>
  <c r="D34" i="5"/>
  <c r="C34" i="5"/>
  <c r="J33" i="5"/>
  <c r="I33" i="5"/>
  <c r="H33" i="5"/>
  <c r="G33" i="5"/>
  <c r="F33" i="5"/>
  <c r="E33" i="5"/>
  <c r="D33" i="5"/>
  <c r="C33" i="5"/>
  <c r="J32" i="5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O31" i="5"/>
  <c r="O32" i="5"/>
  <c r="O35" i="5"/>
  <c r="O37" i="5"/>
  <c r="N41" i="5"/>
  <c r="O39" i="5"/>
  <c r="O38" i="5"/>
  <c r="K37" i="5"/>
  <c r="L37" i="5"/>
  <c r="O36" i="5"/>
  <c r="K36" i="5"/>
  <c r="L36" i="5"/>
  <c r="K35" i="5"/>
  <c r="L35" i="5"/>
  <c r="O34" i="5"/>
  <c r="K34" i="5"/>
  <c r="L34" i="5"/>
  <c r="O33" i="5"/>
  <c r="K33" i="5"/>
  <c r="L33" i="5"/>
  <c r="K32" i="5"/>
  <c r="L32" i="5"/>
  <c r="K31" i="5"/>
  <c r="L31" i="5"/>
  <c r="N30" i="5"/>
  <c r="K30" i="5"/>
  <c r="L30" i="5"/>
  <c r="N17" i="3"/>
  <c r="K15" i="3"/>
  <c r="O4" i="3"/>
  <c r="C15" i="3"/>
  <c r="C12" i="3"/>
  <c r="C11" i="3"/>
  <c r="O5" i="3"/>
  <c r="F15" i="3"/>
  <c r="F12" i="3"/>
  <c r="F11" i="3"/>
  <c r="O8" i="3"/>
  <c r="H15" i="3"/>
  <c r="H12" i="3"/>
  <c r="H11" i="3"/>
  <c r="O10" i="3"/>
  <c r="N14" i="3"/>
  <c r="L15" i="3"/>
  <c r="K14" i="3"/>
  <c r="L14" i="3"/>
  <c r="K13" i="3"/>
  <c r="L13" i="3"/>
  <c r="C10" i="3"/>
  <c r="F10" i="3"/>
  <c r="H10" i="3"/>
  <c r="K12" i="3"/>
  <c r="L12" i="3"/>
  <c r="K11" i="3"/>
  <c r="L11" i="3"/>
  <c r="K10" i="3"/>
  <c r="L10" i="3"/>
  <c r="K9" i="3"/>
  <c r="L9" i="3"/>
  <c r="K8" i="3"/>
  <c r="L8" i="3"/>
  <c r="C8" i="3"/>
  <c r="F8" i="3"/>
  <c r="H8" i="3"/>
  <c r="E11" i="3"/>
  <c r="E8" i="3"/>
  <c r="E12" i="3"/>
  <c r="E10" i="3"/>
  <c r="E15" i="3"/>
  <c r="O7" i="3"/>
  <c r="I11" i="3"/>
  <c r="I8" i="3"/>
  <c r="I12" i="3"/>
  <c r="I10" i="3"/>
  <c r="I15" i="3"/>
  <c r="O11" i="3"/>
  <c r="C14" i="3"/>
  <c r="E14" i="3"/>
  <c r="I14" i="3"/>
  <c r="D14" i="3"/>
  <c r="D11" i="3"/>
  <c r="D8" i="3"/>
  <c r="D12" i="3"/>
  <c r="D10" i="3"/>
  <c r="D15" i="3"/>
  <c r="O6" i="3"/>
  <c r="F14" i="3"/>
  <c r="G14" i="3"/>
  <c r="G11" i="3"/>
  <c r="G8" i="3"/>
  <c r="G12" i="3"/>
  <c r="G10" i="3"/>
  <c r="G15" i="3"/>
  <c r="O9" i="3"/>
  <c r="H14" i="3"/>
  <c r="J14" i="3"/>
  <c r="J11" i="3"/>
  <c r="J8" i="3"/>
  <c r="J12" i="3"/>
  <c r="J10" i="3"/>
  <c r="J15" i="3"/>
  <c r="O12" i="3"/>
  <c r="J13" i="3"/>
  <c r="I13" i="3"/>
  <c r="H13" i="3"/>
  <c r="G13" i="3"/>
  <c r="F13" i="3"/>
  <c r="E13" i="3"/>
  <c r="D13" i="3"/>
  <c r="C13" i="3"/>
  <c r="J9" i="3"/>
  <c r="I9" i="3"/>
  <c r="H9" i="3"/>
  <c r="G9" i="3"/>
  <c r="F9" i="3"/>
  <c r="E9" i="3"/>
  <c r="D9" i="3"/>
  <c r="C9" i="3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L17" i="2"/>
  <c r="M2" i="2"/>
  <c r="N6" i="2"/>
  <c r="N5" i="2"/>
  <c r="N4" i="2"/>
  <c r="N3" i="2"/>
  <c r="M3" i="2"/>
  <c r="M6" i="2"/>
  <c r="M5" i="2"/>
  <c r="M4" i="2"/>
  <c r="L6" i="2"/>
  <c r="L4" i="2"/>
  <c r="L5" i="2"/>
  <c r="F9" i="2"/>
  <c r="G9" i="2"/>
  <c r="H9" i="2"/>
  <c r="I9" i="2"/>
  <c r="J9" i="2"/>
  <c r="F10" i="2"/>
  <c r="G10" i="2"/>
  <c r="H10" i="2"/>
  <c r="I10" i="2"/>
  <c r="J10" i="2"/>
  <c r="F11" i="2"/>
  <c r="G11" i="2"/>
  <c r="H11" i="2"/>
  <c r="I11" i="2"/>
  <c r="J11" i="2"/>
  <c r="F12" i="2"/>
  <c r="G12" i="2"/>
  <c r="H12" i="2"/>
  <c r="I12" i="2"/>
  <c r="J12" i="2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J8" i="2"/>
  <c r="I8" i="2"/>
  <c r="H8" i="2"/>
  <c r="G8" i="2"/>
  <c r="F8" i="2"/>
  <c r="E9" i="2"/>
  <c r="E10" i="2"/>
  <c r="E11" i="2"/>
  <c r="E12" i="2"/>
  <c r="E13" i="2"/>
  <c r="E14" i="2"/>
  <c r="E15" i="2"/>
  <c r="E8" i="2"/>
  <c r="D9" i="2"/>
  <c r="D10" i="2"/>
  <c r="D11" i="2"/>
  <c r="D12" i="2"/>
  <c r="D13" i="2"/>
  <c r="D14" i="2"/>
  <c r="D15" i="2"/>
  <c r="D8" i="2"/>
  <c r="C8" i="2"/>
  <c r="C9" i="2"/>
  <c r="C10" i="2"/>
  <c r="C11" i="2"/>
  <c r="C12" i="2"/>
  <c r="C13" i="2"/>
  <c r="C14" i="2"/>
  <c r="C15" i="2"/>
</calcChain>
</file>

<file path=xl/sharedStrings.xml><?xml version="1.0" encoding="utf-8"?>
<sst xmlns="http://schemas.openxmlformats.org/spreadsheetml/2006/main" count="165" uniqueCount="48">
  <si>
    <t>Geslacht</t>
  </si>
  <si>
    <t>Eerst/later</t>
  </si>
  <si>
    <t>n</t>
  </si>
  <si>
    <t>Gem</t>
  </si>
  <si>
    <t>P5</t>
  </si>
  <si>
    <t>P10</t>
  </si>
  <si>
    <t>P25</t>
  </si>
  <si>
    <t>P50</t>
  </si>
  <si>
    <t>P75</t>
  </si>
  <si>
    <t>P90</t>
  </si>
  <si>
    <t>P95</t>
  </si>
  <si>
    <t>m</t>
  </si>
  <si>
    <t>v</t>
  </si>
  <si>
    <t>Eerstgeboren</t>
  </si>
  <si>
    <t>Week</t>
  </si>
  <si>
    <t>n*Gem</t>
  </si>
  <si>
    <t>Latergeboren</t>
  </si>
  <si>
    <t>Geslacht:</t>
  </si>
  <si>
    <t>Eerst/later: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</si>
  <si>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5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</si>
  <si>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</si>
  <si>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25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</si>
  <si>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</si>
  <si>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</si>
  <si>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90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</si>
  <si>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95</t>
    </r>
  </si>
  <si>
    <t>GebWeek:</t>
  </si>
  <si>
    <t>Gem_iedereen</t>
  </si>
  <si>
    <t>WkSel</t>
  </si>
  <si>
    <t>Regel</t>
  </si>
  <si>
    <t>Label</t>
  </si>
  <si>
    <t>Naam:</t>
  </si>
  <si>
    <t>GebGewicht:</t>
  </si>
  <si>
    <t>VergWk</t>
  </si>
  <si>
    <t>Verg</t>
  </si>
  <si>
    <t>VergGew</t>
  </si>
  <si>
    <t>VergLabel</t>
  </si>
  <si>
    <t>Bron:</t>
  </si>
  <si>
    <t>ntvg.nl/artikelen/verschillen-de-geboortegewichten-van-vroeger-en-nu</t>
  </si>
  <si>
    <t>FOUT</t>
  </si>
  <si>
    <t>WkRij</t>
  </si>
  <si>
    <t>Percentiel</t>
  </si>
  <si>
    <t>PercentielKol</t>
  </si>
  <si>
    <t>PercGew</t>
  </si>
  <si>
    <t>© 2020, G-Info/G. Verbruggen</t>
  </si>
  <si>
    <t>www.ginfo.nl</t>
  </si>
  <si>
    <t>Voorbeeld materiaal -  Geboortegewicht</t>
  </si>
  <si>
    <t>Gijs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</si>
</sst>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164" fontId="0" fillId="0" borderId="0" xfId="1" applyNumberFormat="1" applyFont="1"/>
    <xf numFmtId="0" fontId="0" fillId="0" borderId="0" xfId="0" applyNumberFormat="1"/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ont="1" applyFill="1" applyBorder="1"/>
    <xf numFmtId="0" fontId="0" fillId="0" borderId="2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3" xfId="1" applyNumberFormat="1" applyFont="1" applyBorder="1"/>
    <xf numFmtId="0" fontId="2" fillId="0" borderId="4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0" xfId="1" applyNumberFormat="1" applyFont="1" applyFill="1" applyBorder="1"/>
    <xf numFmtId="0" fontId="2" fillId="0" borderId="13" xfId="0" applyFont="1" applyBorder="1" applyAlignment="1">
      <alignment horizontal="right"/>
    </xf>
    <xf numFmtId="164" fontId="0" fillId="0" borderId="14" xfId="1" applyNumberFormat="1" applyFont="1" applyBorder="1"/>
    <xf numFmtId="164" fontId="0" fillId="0" borderId="15" xfId="1" applyNumberFormat="1" applyFont="1" applyBorder="1"/>
    <xf numFmtId="0" fontId="2" fillId="0" borderId="16" xfId="0" applyFont="1" applyFill="1" applyBorder="1" applyAlignment="1">
      <alignment horizontal="right"/>
    </xf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1" xfId="0" applyBorder="1"/>
    <xf numFmtId="0" fontId="0" fillId="0" borderId="17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0" fillId="2" borderId="10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164" fontId="0" fillId="0" borderId="18" xfId="1" applyNumberFormat="1" applyFont="1" applyBorder="1"/>
    <xf numFmtId="164" fontId="0" fillId="0" borderId="17" xfId="1" applyNumberFormat="1" applyFont="1" applyBorder="1"/>
    <xf numFmtId="0" fontId="7" fillId="0" borderId="17" xfId="0" applyFont="1" applyBorder="1"/>
    <xf numFmtId="0" fontId="0" fillId="0" borderId="0" xfId="0" applyAlignment="1">
      <alignment wrapText="1"/>
    </xf>
    <xf numFmtId="164" fontId="0" fillId="0" borderId="19" xfId="1" applyNumberFormat="1" applyFont="1" applyBorder="1"/>
    <xf numFmtId="0" fontId="0" fillId="0" borderId="14" xfId="0" applyBorder="1"/>
    <xf numFmtId="0" fontId="0" fillId="0" borderId="15" xfId="0" applyBorder="1"/>
    <xf numFmtId="0" fontId="0" fillId="0" borderId="20" xfId="0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0" fontId="0" fillId="0" borderId="23" xfId="0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0" fontId="0" fillId="0" borderId="3" xfId="0" applyBorder="1" applyAlignment="1">
      <alignment horizontal="right"/>
    </xf>
    <xf numFmtId="0" fontId="8" fillId="3" borderId="0" xfId="3" applyFill="1"/>
    <xf numFmtId="0" fontId="8" fillId="0" borderId="0" xfId="3"/>
    <xf numFmtId="0" fontId="8" fillId="4" borderId="0" xfId="3" applyFill="1"/>
    <xf numFmtId="0" fontId="8" fillId="4" borderId="26" xfId="3" applyFill="1" applyBorder="1"/>
    <xf numFmtId="0" fontId="8" fillId="4" borderId="27" xfId="3" applyFill="1" applyBorder="1"/>
    <xf numFmtId="0" fontId="8" fillId="4" borderId="28" xfId="3" applyFill="1" applyBorder="1"/>
    <xf numFmtId="0" fontId="8" fillId="4" borderId="29" xfId="3" applyFill="1" applyBorder="1"/>
    <xf numFmtId="0" fontId="9" fillId="4" borderId="0" xfId="3" applyFont="1" applyFill="1"/>
    <xf numFmtId="0" fontId="8" fillId="4" borderId="30" xfId="3" applyFill="1" applyBorder="1"/>
    <xf numFmtId="0" fontId="10" fillId="4" borderId="0" xfId="3" applyFont="1" applyFill="1" applyAlignment="1">
      <alignment horizontal="right"/>
    </xf>
    <xf numFmtId="0" fontId="11" fillId="4" borderId="0" xfId="3" applyFont="1" applyFill="1" applyAlignment="1">
      <alignment horizontal="right"/>
    </xf>
    <xf numFmtId="0" fontId="12" fillId="4" borderId="0" xfId="3" applyFont="1" applyFill="1" applyAlignment="1">
      <alignment horizontal="right"/>
    </xf>
    <xf numFmtId="0" fontId="13" fillId="4" borderId="0" xfId="4" applyFill="1" applyBorder="1" applyAlignment="1" applyProtection="1">
      <alignment horizontal="right"/>
      <protection locked="0"/>
    </xf>
    <xf numFmtId="0" fontId="13" fillId="4" borderId="0" xfId="4" applyFill="1" applyAlignment="1" applyProtection="1">
      <alignment horizontal="right"/>
      <protection locked="0"/>
    </xf>
    <xf numFmtId="0" fontId="8" fillId="4" borderId="31" xfId="3" applyFill="1" applyBorder="1"/>
    <xf numFmtId="0" fontId="8" fillId="4" borderId="32" xfId="3" applyFill="1" applyBorder="1"/>
    <xf numFmtId="0" fontId="8" fillId="4" borderId="33" xfId="3" applyFill="1" applyBorder="1"/>
    <xf numFmtId="0" fontId="6" fillId="0" borderId="0" xfId="2" applyAlignment="1">
      <alignment horizontal="left"/>
    </xf>
  </cellXfs>
  <cellStyles count="5">
    <cellStyle name="Hyperlink" xfId="2" builtinId="8"/>
    <cellStyle name="Hyperlink 2" xfId="4" xr:uid="{D4882AC5-B60C-402B-8F69-832CB30D9E96}"/>
    <cellStyle name="Komma" xfId="1" builtinId="3"/>
    <cellStyle name="Normal 2" xfId="3" xr:uid="{F741B36A-86A9-40BC-9CF5-DF12C8932290}"/>
    <cellStyle name="Standaard" xfId="0" builtinId="0"/>
  </cellStyles>
  <dxfs count="6">
    <dxf>
      <font>
        <b/>
        <i/>
        <color theme="0"/>
      </font>
      <fill>
        <patternFill>
          <bgColor theme="9" tint="0.39994506668294322"/>
        </patternFill>
      </fill>
    </dxf>
    <dxf>
      <font>
        <b/>
        <i/>
        <color theme="0"/>
      </font>
      <fill>
        <patternFill>
          <bgColor theme="9" tint="0.39994506668294322"/>
        </patternFill>
      </fill>
    </dxf>
    <dxf>
      <font>
        <b/>
        <i/>
        <color theme="0"/>
      </font>
      <fill>
        <patternFill>
          <bgColor theme="9" tint="0.39994506668294322"/>
        </patternFill>
      </fill>
    </dxf>
    <dxf>
      <font>
        <b/>
        <i/>
        <color theme="0"/>
      </font>
      <fill>
        <patternFill>
          <bgColor theme="9" tint="0.39994506668294322"/>
        </patternFill>
      </fill>
    </dxf>
    <dxf>
      <font>
        <b/>
        <i/>
        <color theme="0"/>
      </font>
      <fill>
        <patternFill>
          <bgColor theme="9" tint="0.39994506668294322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Selectie!$L$17</c:f>
          <c:strCache>
            <c:ptCount val="1"/>
            <c:pt idx="0">
              <c:v> Geboortegewicht in gram 
(m, Eerstgeboren)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581494506862533E-2"/>
          <c:y val="0.2213235294117647"/>
          <c:w val="0.88926391612115674"/>
          <c:h val="0.56103584478410795"/>
        </c:manualLayout>
      </c:layout>
      <c:lineChart>
        <c:grouping val="standard"/>
        <c:varyColors val="0"/>
        <c:ser>
          <c:idx val="2"/>
          <c:order val="0"/>
          <c:tx>
            <c:strRef>
              <c:f>Selectie!$D$7</c:f>
              <c:strCache>
                <c:ptCount val="1"/>
                <c:pt idx="0">
                  <c:v>P5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Selectie!$D$8:$D$15</c:f>
              <c:numCache>
                <c:formatCode>_ * #,##0_ ;_ * \-#,##0_ ;_ * "-"??_ ;_ @_ </c:formatCode>
                <c:ptCount val="8"/>
                <c:pt idx="0">
                  <c:v>2110</c:v>
                </c:pt>
                <c:pt idx="1">
                  <c:v>2180</c:v>
                </c:pt>
                <c:pt idx="2">
                  <c:v>2370</c:v>
                </c:pt>
                <c:pt idx="3">
                  <c:v>2600</c:v>
                </c:pt>
                <c:pt idx="4">
                  <c:v>2690</c:v>
                </c:pt>
                <c:pt idx="5">
                  <c:v>2810</c:v>
                </c:pt>
                <c:pt idx="6">
                  <c:v>2910</c:v>
                </c:pt>
                <c:pt idx="7">
                  <c:v>2770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0D-460A-9AEA-06FEA326C56E}"/>
            </c:ext>
          </c:extLst>
        </c:ser>
        <c:ser>
          <c:idx val="3"/>
          <c:order val="1"/>
          <c:tx>
            <c:strRef>
              <c:f>Selectie!$E$7</c:f>
              <c:strCache>
                <c:ptCount val="1"/>
                <c:pt idx="0">
                  <c:v>P10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Selectie!$E$8:$E$15</c:f>
              <c:numCache>
                <c:formatCode>_ * #,##0_ ;_ * \-#,##0_ ;_ * "-"??_ ;_ @_ </c:formatCode>
                <c:ptCount val="8"/>
                <c:pt idx="0">
                  <c:v>2290</c:v>
                </c:pt>
                <c:pt idx="1">
                  <c:v>2370</c:v>
                </c:pt>
                <c:pt idx="2">
                  <c:v>2510</c:v>
                </c:pt>
                <c:pt idx="3">
                  <c:v>2730</c:v>
                </c:pt>
                <c:pt idx="4">
                  <c:v>2850</c:v>
                </c:pt>
                <c:pt idx="5">
                  <c:v>3000</c:v>
                </c:pt>
                <c:pt idx="6">
                  <c:v>3060</c:v>
                </c:pt>
                <c:pt idx="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0D-460A-9AEA-06FEA326C56E}"/>
            </c:ext>
          </c:extLst>
        </c:ser>
        <c:ser>
          <c:idx val="4"/>
          <c:order val="2"/>
          <c:tx>
            <c:strRef>
              <c:f>Selectie!$F$7</c:f>
              <c:strCache>
                <c:ptCount val="1"/>
                <c:pt idx="0">
                  <c:v>P25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Selectie!$F$8:$F$15</c:f>
              <c:numCache>
                <c:formatCode>_ * #,##0_ ;_ * \-#,##0_ ;_ * "-"??_ ;_ @_ </c:formatCode>
                <c:ptCount val="8"/>
                <c:pt idx="0">
                  <c:v>2530</c:v>
                </c:pt>
                <c:pt idx="1">
                  <c:v>2550</c:v>
                </c:pt>
                <c:pt idx="2">
                  <c:v>2790</c:v>
                </c:pt>
                <c:pt idx="3">
                  <c:v>2980</c:v>
                </c:pt>
                <c:pt idx="4">
                  <c:v>3100</c:v>
                </c:pt>
                <c:pt idx="5">
                  <c:v>3220</c:v>
                </c:pt>
                <c:pt idx="6">
                  <c:v>3280</c:v>
                </c:pt>
                <c:pt idx="7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D-460A-9AEA-06FEA326C56E}"/>
            </c:ext>
          </c:extLst>
        </c:ser>
        <c:ser>
          <c:idx val="0"/>
          <c:order val="3"/>
          <c:tx>
            <c:strRef>
              <c:f>Selectie!$C$7</c:f>
              <c:strCache>
                <c:ptCount val="1"/>
                <c:pt idx="0">
                  <c:v>Gem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Selectie!$C$8:$C$15</c:f>
              <c:numCache>
                <c:formatCode>_ * #,##0_ ;_ * \-#,##0_ ;_ * "-"??_ ;_ @_ </c:formatCode>
                <c:ptCount val="8"/>
                <c:pt idx="0">
                  <c:v>2781</c:v>
                </c:pt>
                <c:pt idx="1">
                  <c:v>2850</c:v>
                </c:pt>
                <c:pt idx="2">
                  <c:v>3076</c:v>
                </c:pt>
                <c:pt idx="3">
                  <c:v>3234</c:v>
                </c:pt>
                <c:pt idx="4">
                  <c:v>3376</c:v>
                </c:pt>
                <c:pt idx="5">
                  <c:v>3495</c:v>
                </c:pt>
                <c:pt idx="6">
                  <c:v>3575</c:v>
                </c:pt>
                <c:pt idx="7">
                  <c:v>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0D-460A-9AEA-06FEA326C56E}"/>
            </c:ext>
          </c:extLst>
        </c:ser>
        <c:ser>
          <c:idx val="5"/>
          <c:order val="4"/>
          <c:tx>
            <c:strRef>
              <c:f>Selectie!$G$7</c:f>
              <c:strCache>
                <c:ptCount val="1"/>
                <c:pt idx="0">
                  <c:v>P50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Selectie!$G$8:$G$15</c:f>
              <c:numCache>
                <c:formatCode>_ * #,##0_ ;_ * \-#,##0_ ;_ * "-"??_ ;_ @_ </c:formatCode>
                <c:ptCount val="8"/>
                <c:pt idx="0">
                  <c:v>2820</c:v>
                </c:pt>
                <c:pt idx="1">
                  <c:v>2840</c:v>
                </c:pt>
                <c:pt idx="2">
                  <c:v>3120</c:v>
                </c:pt>
                <c:pt idx="3">
                  <c:v>3250</c:v>
                </c:pt>
                <c:pt idx="4">
                  <c:v>3370</c:v>
                </c:pt>
                <c:pt idx="5">
                  <c:v>3490</c:v>
                </c:pt>
                <c:pt idx="6">
                  <c:v>3580</c:v>
                </c:pt>
                <c:pt idx="7">
                  <c:v>3570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0D-460A-9AEA-06FEA326C56E}"/>
            </c:ext>
          </c:extLst>
        </c:ser>
        <c:ser>
          <c:idx val="6"/>
          <c:order val="5"/>
          <c:tx>
            <c:strRef>
              <c:f>Selectie!$H$7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Selectie!$H$8:$H$15</c:f>
              <c:numCache>
                <c:formatCode>_ * #,##0_ ;_ * \-#,##0_ ;_ * "-"??_ ;_ @_ </c:formatCode>
                <c:ptCount val="8"/>
                <c:pt idx="0">
                  <c:v>3050</c:v>
                </c:pt>
                <c:pt idx="1">
                  <c:v>3130</c:v>
                </c:pt>
                <c:pt idx="2">
                  <c:v>3350</c:v>
                </c:pt>
                <c:pt idx="3">
                  <c:v>3490</c:v>
                </c:pt>
                <c:pt idx="4">
                  <c:v>3650</c:v>
                </c:pt>
                <c:pt idx="5">
                  <c:v>3760</c:v>
                </c:pt>
                <c:pt idx="6">
                  <c:v>3850</c:v>
                </c:pt>
                <c:pt idx="7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0D-460A-9AEA-06FEA326C56E}"/>
            </c:ext>
          </c:extLst>
        </c:ser>
        <c:ser>
          <c:idx val="7"/>
          <c:order val="6"/>
          <c:tx>
            <c:strRef>
              <c:f>Selectie!$I$7</c:f>
              <c:strCache>
                <c:ptCount val="1"/>
                <c:pt idx="0">
                  <c:v>P90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Selectie!$I$8:$I$15</c:f>
              <c:numCache>
                <c:formatCode>_ * #,##0_ ;_ * \-#,##0_ ;_ * "-"??_ ;_ @_ </c:formatCode>
                <c:ptCount val="8"/>
                <c:pt idx="0">
                  <c:v>3220</c:v>
                </c:pt>
                <c:pt idx="1">
                  <c:v>3410</c:v>
                </c:pt>
                <c:pt idx="2">
                  <c:v>3620</c:v>
                </c:pt>
                <c:pt idx="3">
                  <c:v>3730</c:v>
                </c:pt>
                <c:pt idx="4">
                  <c:v>3910</c:v>
                </c:pt>
                <c:pt idx="5">
                  <c:v>4010</c:v>
                </c:pt>
                <c:pt idx="6">
                  <c:v>4100</c:v>
                </c:pt>
                <c:pt idx="7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0D-460A-9AEA-06FEA326C56E}"/>
            </c:ext>
          </c:extLst>
        </c:ser>
        <c:ser>
          <c:idx val="8"/>
          <c:order val="7"/>
          <c:tx>
            <c:strRef>
              <c:f>Selectie!$J$7</c:f>
              <c:strCache>
                <c:ptCount val="1"/>
                <c:pt idx="0">
                  <c:v>P95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Selectie!$J$8:$J$15</c:f>
              <c:numCache>
                <c:formatCode>_ * #,##0_ ;_ * \-#,##0_ ;_ * "-"??_ ;_ @_ </c:formatCode>
                <c:ptCount val="8"/>
                <c:pt idx="0">
                  <c:v>3300</c:v>
                </c:pt>
                <c:pt idx="1">
                  <c:v>3550</c:v>
                </c:pt>
                <c:pt idx="2">
                  <c:v>3790</c:v>
                </c:pt>
                <c:pt idx="3">
                  <c:v>3840</c:v>
                </c:pt>
                <c:pt idx="4">
                  <c:v>4070</c:v>
                </c:pt>
                <c:pt idx="5">
                  <c:v>4190</c:v>
                </c:pt>
                <c:pt idx="6">
                  <c:v>4260</c:v>
                </c:pt>
                <c:pt idx="7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0D-460A-9AEA-06FEA326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628944"/>
        <c:axId val="523624024"/>
      </c:lineChart>
      <c:catAx>
        <c:axId val="52362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van geboorte</a:t>
                </a:r>
              </a:p>
            </c:rich>
          </c:tx>
          <c:layout>
            <c:manualLayout>
              <c:xMode val="edge"/>
              <c:yMode val="edge"/>
              <c:x val="0.74886281507301722"/>
              <c:y val="0.85039144923061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4024"/>
        <c:crosses val="autoZero"/>
        <c:auto val="1"/>
        <c:lblAlgn val="ctr"/>
        <c:lblOffset val="100"/>
        <c:noMultiLvlLbl val="0"/>
      </c:catAx>
      <c:valAx>
        <c:axId val="5236240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Selectie2!$N$17</c:f>
          <c:strCache>
            <c:ptCount val="1"/>
            <c:pt idx="0">
              <c:v> Geboortegewicht in gram (m, Eerstgeboren)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581494506862519E-2"/>
          <c:y val="0.2013481517935258"/>
          <c:w val="0.88926391612115674"/>
          <c:h val="0.6069715113735783"/>
        </c:manualLayout>
      </c:layout>
      <c:lineChart>
        <c:grouping val="standard"/>
        <c:varyColors val="0"/>
        <c:ser>
          <c:idx val="2"/>
          <c:order val="0"/>
          <c:tx>
            <c:strRef>
              <c:f>Selectie2!$D$7</c:f>
              <c:strCache>
                <c:ptCount val="1"/>
                <c:pt idx="0">
                  <c:v>P5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Selectie2!$D$8:$D$15</c:f>
              <c:numCache>
                <c:formatCode>_ * #,##0_ ;_ * \-#,##0_ ;_ * "-"??_ ;_ @_ </c:formatCode>
                <c:ptCount val="8"/>
                <c:pt idx="0">
                  <c:v>2110</c:v>
                </c:pt>
                <c:pt idx="1">
                  <c:v>2180</c:v>
                </c:pt>
                <c:pt idx="2">
                  <c:v>2370</c:v>
                </c:pt>
                <c:pt idx="3">
                  <c:v>2600</c:v>
                </c:pt>
                <c:pt idx="4">
                  <c:v>2690</c:v>
                </c:pt>
                <c:pt idx="5">
                  <c:v>2810</c:v>
                </c:pt>
                <c:pt idx="6">
                  <c:v>2910</c:v>
                </c:pt>
                <c:pt idx="7">
                  <c:v>2770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7-423D-8806-B143E88F6D94}"/>
            </c:ext>
          </c:extLst>
        </c:ser>
        <c:ser>
          <c:idx val="3"/>
          <c:order val="1"/>
          <c:tx>
            <c:strRef>
              <c:f>Selectie2!$E$7</c:f>
              <c:strCache>
                <c:ptCount val="1"/>
                <c:pt idx="0">
                  <c:v>P10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Selectie2!$E$8:$E$15</c:f>
              <c:numCache>
                <c:formatCode>_ * #,##0_ ;_ * \-#,##0_ ;_ * "-"??_ ;_ @_ </c:formatCode>
                <c:ptCount val="8"/>
                <c:pt idx="0">
                  <c:v>2290</c:v>
                </c:pt>
                <c:pt idx="1">
                  <c:v>2370</c:v>
                </c:pt>
                <c:pt idx="2">
                  <c:v>2510</c:v>
                </c:pt>
                <c:pt idx="3">
                  <c:v>2730</c:v>
                </c:pt>
                <c:pt idx="4">
                  <c:v>2850</c:v>
                </c:pt>
                <c:pt idx="5">
                  <c:v>3000</c:v>
                </c:pt>
                <c:pt idx="6">
                  <c:v>3060</c:v>
                </c:pt>
                <c:pt idx="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7-423D-8806-B143E88F6D94}"/>
            </c:ext>
          </c:extLst>
        </c:ser>
        <c:ser>
          <c:idx val="4"/>
          <c:order val="2"/>
          <c:tx>
            <c:strRef>
              <c:f>Selectie2!$F$7</c:f>
              <c:strCache>
                <c:ptCount val="1"/>
                <c:pt idx="0">
                  <c:v>P25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Selectie2!$F$8:$F$15</c:f>
              <c:numCache>
                <c:formatCode>_ * #,##0_ ;_ * \-#,##0_ ;_ * "-"??_ ;_ @_ </c:formatCode>
                <c:ptCount val="8"/>
                <c:pt idx="0">
                  <c:v>2530</c:v>
                </c:pt>
                <c:pt idx="1">
                  <c:v>2550</c:v>
                </c:pt>
                <c:pt idx="2">
                  <c:v>2790</c:v>
                </c:pt>
                <c:pt idx="3">
                  <c:v>2980</c:v>
                </c:pt>
                <c:pt idx="4">
                  <c:v>3100</c:v>
                </c:pt>
                <c:pt idx="5">
                  <c:v>3220</c:v>
                </c:pt>
                <c:pt idx="6">
                  <c:v>3280</c:v>
                </c:pt>
                <c:pt idx="7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7-423D-8806-B143E88F6D94}"/>
            </c:ext>
          </c:extLst>
        </c:ser>
        <c:ser>
          <c:idx val="0"/>
          <c:order val="3"/>
          <c:tx>
            <c:strRef>
              <c:f>Selectie2!$C$7</c:f>
              <c:strCache>
                <c:ptCount val="1"/>
                <c:pt idx="0">
                  <c:v>Gem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Selectie2!$C$8:$C$15</c:f>
              <c:numCache>
                <c:formatCode>_ * #,##0_ ;_ * \-#,##0_ ;_ * "-"??_ ;_ @_ </c:formatCode>
                <c:ptCount val="8"/>
                <c:pt idx="0">
                  <c:v>2781</c:v>
                </c:pt>
                <c:pt idx="1">
                  <c:v>2850</c:v>
                </c:pt>
                <c:pt idx="2">
                  <c:v>3076</c:v>
                </c:pt>
                <c:pt idx="3">
                  <c:v>3234</c:v>
                </c:pt>
                <c:pt idx="4">
                  <c:v>3376</c:v>
                </c:pt>
                <c:pt idx="5">
                  <c:v>3495</c:v>
                </c:pt>
                <c:pt idx="6">
                  <c:v>3575</c:v>
                </c:pt>
                <c:pt idx="7">
                  <c:v>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7-423D-8806-B143E88F6D94}"/>
            </c:ext>
          </c:extLst>
        </c:ser>
        <c:ser>
          <c:idx val="5"/>
          <c:order val="4"/>
          <c:tx>
            <c:strRef>
              <c:f>Selectie2!$G$7</c:f>
              <c:strCache>
                <c:ptCount val="1"/>
                <c:pt idx="0">
                  <c:v>P50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Selectie2!$G$8:$G$15</c:f>
              <c:numCache>
                <c:formatCode>_ * #,##0_ ;_ * \-#,##0_ ;_ * "-"??_ ;_ @_ </c:formatCode>
                <c:ptCount val="8"/>
                <c:pt idx="0">
                  <c:v>2820</c:v>
                </c:pt>
                <c:pt idx="1">
                  <c:v>2840</c:v>
                </c:pt>
                <c:pt idx="2">
                  <c:v>3120</c:v>
                </c:pt>
                <c:pt idx="3">
                  <c:v>3250</c:v>
                </c:pt>
                <c:pt idx="4">
                  <c:v>3370</c:v>
                </c:pt>
                <c:pt idx="5">
                  <c:v>3490</c:v>
                </c:pt>
                <c:pt idx="6">
                  <c:v>3580</c:v>
                </c:pt>
                <c:pt idx="7">
                  <c:v>3570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67-423D-8806-B143E88F6D94}"/>
            </c:ext>
          </c:extLst>
        </c:ser>
        <c:ser>
          <c:idx val="6"/>
          <c:order val="5"/>
          <c:tx>
            <c:strRef>
              <c:f>Selectie2!$H$7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Selectie2!$H$8:$H$15</c:f>
              <c:numCache>
                <c:formatCode>_ * #,##0_ ;_ * \-#,##0_ ;_ * "-"??_ ;_ @_ </c:formatCode>
                <c:ptCount val="8"/>
                <c:pt idx="0">
                  <c:v>3050</c:v>
                </c:pt>
                <c:pt idx="1">
                  <c:v>3130</c:v>
                </c:pt>
                <c:pt idx="2">
                  <c:v>3350</c:v>
                </c:pt>
                <c:pt idx="3">
                  <c:v>3490</c:v>
                </c:pt>
                <c:pt idx="4">
                  <c:v>3650</c:v>
                </c:pt>
                <c:pt idx="5">
                  <c:v>3760</c:v>
                </c:pt>
                <c:pt idx="6">
                  <c:v>3850</c:v>
                </c:pt>
                <c:pt idx="7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67-423D-8806-B143E88F6D94}"/>
            </c:ext>
          </c:extLst>
        </c:ser>
        <c:ser>
          <c:idx val="7"/>
          <c:order val="6"/>
          <c:tx>
            <c:strRef>
              <c:f>Selectie2!$I$7</c:f>
              <c:strCache>
                <c:ptCount val="1"/>
                <c:pt idx="0">
                  <c:v>P90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Selectie2!$I$8:$I$15</c:f>
              <c:numCache>
                <c:formatCode>_ * #,##0_ ;_ * \-#,##0_ ;_ * "-"??_ ;_ @_ </c:formatCode>
                <c:ptCount val="8"/>
                <c:pt idx="0">
                  <c:v>3220</c:v>
                </c:pt>
                <c:pt idx="1">
                  <c:v>3410</c:v>
                </c:pt>
                <c:pt idx="2">
                  <c:v>3620</c:v>
                </c:pt>
                <c:pt idx="3">
                  <c:v>3730</c:v>
                </c:pt>
                <c:pt idx="4">
                  <c:v>3910</c:v>
                </c:pt>
                <c:pt idx="5">
                  <c:v>4010</c:v>
                </c:pt>
                <c:pt idx="6">
                  <c:v>4100</c:v>
                </c:pt>
                <c:pt idx="7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67-423D-8806-B143E88F6D94}"/>
            </c:ext>
          </c:extLst>
        </c:ser>
        <c:ser>
          <c:idx val="8"/>
          <c:order val="7"/>
          <c:tx>
            <c:strRef>
              <c:f>Selectie2!$J$7</c:f>
              <c:strCache>
                <c:ptCount val="1"/>
                <c:pt idx="0">
                  <c:v>P95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Selectie2!$J$8:$J$15</c:f>
              <c:numCache>
                <c:formatCode>_ * #,##0_ ;_ * \-#,##0_ ;_ * "-"??_ ;_ @_ </c:formatCode>
                <c:ptCount val="8"/>
                <c:pt idx="0">
                  <c:v>3300</c:v>
                </c:pt>
                <c:pt idx="1">
                  <c:v>3550</c:v>
                </c:pt>
                <c:pt idx="2">
                  <c:v>3790</c:v>
                </c:pt>
                <c:pt idx="3">
                  <c:v>3840</c:v>
                </c:pt>
                <c:pt idx="4">
                  <c:v>4070</c:v>
                </c:pt>
                <c:pt idx="5">
                  <c:v>4190</c:v>
                </c:pt>
                <c:pt idx="6">
                  <c:v>4260</c:v>
                </c:pt>
                <c:pt idx="7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67-423D-8806-B143E88F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8944"/>
        <c:axId val="523624024"/>
      </c:lineChart>
      <c:lineChart>
        <c:grouping val="standard"/>
        <c:varyColors val="0"/>
        <c:ser>
          <c:idx val="1"/>
          <c:order val="8"/>
          <c:tx>
            <c:strRef>
              <c:f>Selectie2!$K$7</c:f>
              <c:strCache>
                <c:ptCount val="1"/>
                <c:pt idx="0">
                  <c:v>WkSel</c:v>
                </c:pt>
              </c:strCache>
            </c:strRef>
          </c:tx>
          <c:spPr>
            <a:ln w="31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BEE120B-B84B-4FCD-85F1-1E4285E7ECD4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B67-423D-8806-B143E88F6D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A8F457E-BEDA-417E-AC3B-8534F1F90097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B67-423D-8806-B143E88F6D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0C199B9-8167-4D6B-BA9C-41EC36712498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B67-423D-8806-B143E88F6D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42AC7B-164B-4C5C-8461-FA726002A4F1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B67-423D-8806-B143E88F6D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94298C-44FA-4A5C-B569-EE9D654B448F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B67-423D-8806-B143E88F6D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C12B731-8D81-4357-B30F-A451E3C11ACE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B67-423D-8806-B143E88F6D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FACC4D-7DDE-4A29-A815-1C9CDD65C2D3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B67-423D-8806-B143E88F6D9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6DC6CB8-8500-42EB-8BCF-ACD7BD8E2C6C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B67-423D-8806-B143E88F6D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Selectie2!$B$8:$B$15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Selectie2!$K$8:$K$15</c:f>
              <c:numCache>
                <c:formatCode>_ * #,##0_ ;_ * \-#,##0_ ;_ * "-"??_ ;_ @_ 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Selectie2!$L$8:$L$15</c15:f>
                <c15:dlblRangeCache>
                  <c:ptCount val="8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Gem = 3234,
 P25 = 2980, P75 = 3490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8B67-423D-8806-B143E88F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7960"/>
        <c:axId val="523614512"/>
      </c:lineChart>
      <c:catAx>
        <c:axId val="5236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4024"/>
        <c:crosses val="autoZero"/>
        <c:auto val="1"/>
        <c:lblAlgn val="ctr"/>
        <c:lblOffset val="100"/>
        <c:noMultiLvlLbl val="0"/>
      </c:catAx>
      <c:valAx>
        <c:axId val="5236240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8944"/>
        <c:crosses val="autoZero"/>
        <c:crossBetween val="between"/>
      </c:valAx>
      <c:valAx>
        <c:axId val="523614512"/>
        <c:scaling>
          <c:orientation val="minMax"/>
          <c:max val="1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7960"/>
        <c:crosses val="max"/>
        <c:crossBetween val="between"/>
      </c:valAx>
      <c:catAx>
        <c:axId val="52362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614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Selectie3!$N$30</c:f>
          <c:strCache>
            <c:ptCount val="1"/>
            <c:pt idx="0">
              <c:v> Geboortegewicht in gram (m, Eerstgeboren)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581494506862519E-2"/>
          <c:y val="0.2013481517935258"/>
          <c:w val="0.88926391612115674"/>
          <c:h val="0.6069715113735783"/>
        </c:manualLayout>
      </c:layout>
      <c:lineChart>
        <c:grouping val="standard"/>
        <c:varyColors val="0"/>
        <c:ser>
          <c:idx val="2"/>
          <c:order val="0"/>
          <c:tx>
            <c:strRef>
              <c:f>Selectie3!$D$29</c:f>
              <c:strCache>
                <c:ptCount val="1"/>
                <c:pt idx="0">
                  <c:v>P5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Selectie3!$D$30:$D$37</c:f>
              <c:numCache>
                <c:formatCode>_ * #,##0_ ;_ * \-#,##0_ ;_ * "-"??_ ;_ @_ </c:formatCode>
                <c:ptCount val="8"/>
                <c:pt idx="0">
                  <c:v>2110</c:v>
                </c:pt>
                <c:pt idx="1">
                  <c:v>2180</c:v>
                </c:pt>
                <c:pt idx="2">
                  <c:v>2370</c:v>
                </c:pt>
                <c:pt idx="3">
                  <c:v>2600</c:v>
                </c:pt>
                <c:pt idx="4">
                  <c:v>2690</c:v>
                </c:pt>
                <c:pt idx="5">
                  <c:v>2810</c:v>
                </c:pt>
                <c:pt idx="6">
                  <c:v>2910</c:v>
                </c:pt>
                <c:pt idx="7">
                  <c:v>2770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F-4003-9F44-271937D62418}"/>
            </c:ext>
          </c:extLst>
        </c:ser>
        <c:ser>
          <c:idx val="3"/>
          <c:order val="1"/>
          <c:tx>
            <c:strRef>
              <c:f>Selectie3!$E$29</c:f>
              <c:strCache>
                <c:ptCount val="1"/>
                <c:pt idx="0">
                  <c:v>P10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Selectie3!$E$30:$E$37</c:f>
              <c:numCache>
                <c:formatCode>_ * #,##0_ ;_ * \-#,##0_ ;_ * "-"??_ ;_ @_ </c:formatCode>
                <c:ptCount val="8"/>
                <c:pt idx="0">
                  <c:v>2290</c:v>
                </c:pt>
                <c:pt idx="1">
                  <c:v>2370</c:v>
                </c:pt>
                <c:pt idx="2">
                  <c:v>2510</c:v>
                </c:pt>
                <c:pt idx="3">
                  <c:v>2730</c:v>
                </c:pt>
                <c:pt idx="4">
                  <c:v>2850</c:v>
                </c:pt>
                <c:pt idx="5">
                  <c:v>3000</c:v>
                </c:pt>
                <c:pt idx="6">
                  <c:v>3060</c:v>
                </c:pt>
                <c:pt idx="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F-4003-9F44-271937D62418}"/>
            </c:ext>
          </c:extLst>
        </c:ser>
        <c:ser>
          <c:idx val="4"/>
          <c:order val="2"/>
          <c:tx>
            <c:strRef>
              <c:f>Selectie3!$F$29</c:f>
              <c:strCache>
                <c:ptCount val="1"/>
                <c:pt idx="0">
                  <c:v>P25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Selectie3!$F$30:$F$37</c:f>
              <c:numCache>
                <c:formatCode>_ * #,##0_ ;_ * \-#,##0_ ;_ * "-"??_ ;_ @_ </c:formatCode>
                <c:ptCount val="8"/>
                <c:pt idx="0">
                  <c:v>2530</c:v>
                </c:pt>
                <c:pt idx="1">
                  <c:v>2550</c:v>
                </c:pt>
                <c:pt idx="2">
                  <c:v>2790</c:v>
                </c:pt>
                <c:pt idx="3">
                  <c:v>2980</c:v>
                </c:pt>
                <c:pt idx="4">
                  <c:v>3100</c:v>
                </c:pt>
                <c:pt idx="5">
                  <c:v>3220</c:v>
                </c:pt>
                <c:pt idx="6">
                  <c:v>3280</c:v>
                </c:pt>
                <c:pt idx="7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F-4003-9F44-271937D62418}"/>
            </c:ext>
          </c:extLst>
        </c:ser>
        <c:ser>
          <c:idx val="0"/>
          <c:order val="3"/>
          <c:tx>
            <c:strRef>
              <c:f>Selectie3!$C$29</c:f>
              <c:strCache>
                <c:ptCount val="1"/>
                <c:pt idx="0">
                  <c:v>Gem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Selectie3!$C$30:$C$37</c:f>
              <c:numCache>
                <c:formatCode>_ * #,##0_ ;_ * \-#,##0_ ;_ * "-"??_ ;_ @_ </c:formatCode>
                <c:ptCount val="8"/>
                <c:pt idx="0">
                  <c:v>2781</c:v>
                </c:pt>
                <c:pt idx="1">
                  <c:v>2850</c:v>
                </c:pt>
                <c:pt idx="2">
                  <c:v>3076</c:v>
                </c:pt>
                <c:pt idx="3">
                  <c:v>3234</c:v>
                </c:pt>
                <c:pt idx="4">
                  <c:v>3376</c:v>
                </c:pt>
                <c:pt idx="5">
                  <c:v>3495</c:v>
                </c:pt>
                <c:pt idx="6">
                  <c:v>3575</c:v>
                </c:pt>
                <c:pt idx="7">
                  <c:v>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F-4003-9F44-271937D62418}"/>
            </c:ext>
          </c:extLst>
        </c:ser>
        <c:ser>
          <c:idx val="5"/>
          <c:order val="4"/>
          <c:tx>
            <c:strRef>
              <c:f>Selectie3!$G$29</c:f>
              <c:strCache>
                <c:ptCount val="1"/>
                <c:pt idx="0">
                  <c:v>P50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Selectie3!$G$30:$G$37</c:f>
              <c:numCache>
                <c:formatCode>_ * #,##0_ ;_ * \-#,##0_ ;_ * "-"??_ ;_ @_ </c:formatCode>
                <c:ptCount val="8"/>
                <c:pt idx="0">
                  <c:v>2820</c:v>
                </c:pt>
                <c:pt idx="1">
                  <c:v>2840</c:v>
                </c:pt>
                <c:pt idx="2">
                  <c:v>3120</c:v>
                </c:pt>
                <c:pt idx="3">
                  <c:v>3250</c:v>
                </c:pt>
                <c:pt idx="4">
                  <c:v>3370</c:v>
                </c:pt>
                <c:pt idx="5">
                  <c:v>3490</c:v>
                </c:pt>
                <c:pt idx="6">
                  <c:v>3580</c:v>
                </c:pt>
                <c:pt idx="7">
                  <c:v>3570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9F-4003-9F44-271937D62418}"/>
            </c:ext>
          </c:extLst>
        </c:ser>
        <c:ser>
          <c:idx val="6"/>
          <c:order val="5"/>
          <c:tx>
            <c:strRef>
              <c:f>Selectie3!$H$29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Selectie3!$H$30:$H$37</c:f>
              <c:numCache>
                <c:formatCode>_ * #,##0_ ;_ * \-#,##0_ ;_ * "-"??_ ;_ @_ </c:formatCode>
                <c:ptCount val="8"/>
                <c:pt idx="0">
                  <c:v>3050</c:v>
                </c:pt>
                <c:pt idx="1">
                  <c:v>3130</c:v>
                </c:pt>
                <c:pt idx="2">
                  <c:v>3350</c:v>
                </c:pt>
                <c:pt idx="3">
                  <c:v>3490</c:v>
                </c:pt>
                <c:pt idx="4">
                  <c:v>3650</c:v>
                </c:pt>
                <c:pt idx="5">
                  <c:v>3760</c:v>
                </c:pt>
                <c:pt idx="6">
                  <c:v>3850</c:v>
                </c:pt>
                <c:pt idx="7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9F-4003-9F44-271937D62418}"/>
            </c:ext>
          </c:extLst>
        </c:ser>
        <c:ser>
          <c:idx val="7"/>
          <c:order val="6"/>
          <c:tx>
            <c:strRef>
              <c:f>Selectie3!$I$29</c:f>
              <c:strCache>
                <c:ptCount val="1"/>
                <c:pt idx="0">
                  <c:v>P90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Selectie3!$I$30:$I$37</c:f>
              <c:numCache>
                <c:formatCode>_ * #,##0_ ;_ * \-#,##0_ ;_ * "-"??_ ;_ @_ </c:formatCode>
                <c:ptCount val="8"/>
                <c:pt idx="0">
                  <c:v>3220</c:v>
                </c:pt>
                <c:pt idx="1">
                  <c:v>3410</c:v>
                </c:pt>
                <c:pt idx="2">
                  <c:v>3620</c:v>
                </c:pt>
                <c:pt idx="3">
                  <c:v>3730</c:v>
                </c:pt>
                <c:pt idx="4">
                  <c:v>3910</c:v>
                </c:pt>
                <c:pt idx="5">
                  <c:v>4010</c:v>
                </c:pt>
                <c:pt idx="6">
                  <c:v>4100</c:v>
                </c:pt>
                <c:pt idx="7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9F-4003-9F44-271937D62418}"/>
            </c:ext>
          </c:extLst>
        </c:ser>
        <c:ser>
          <c:idx val="8"/>
          <c:order val="7"/>
          <c:tx>
            <c:strRef>
              <c:f>Selectie3!$J$29</c:f>
              <c:strCache>
                <c:ptCount val="1"/>
                <c:pt idx="0">
                  <c:v>P95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Selectie3!$J$30:$J$37</c:f>
              <c:numCache>
                <c:formatCode>_ * #,##0_ ;_ * \-#,##0_ ;_ * "-"??_ ;_ @_ </c:formatCode>
                <c:ptCount val="8"/>
                <c:pt idx="0">
                  <c:v>3300</c:v>
                </c:pt>
                <c:pt idx="1">
                  <c:v>3550</c:v>
                </c:pt>
                <c:pt idx="2">
                  <c:v>3790</c:v>
                </c:pt>
                <c:pt idx="3">
                  <c:v>3840</c:v>
                </c:pt>
                <c:pt idx="4">
                  <c:v>4070</c:v>
                </c:pt>
                <c:pt idx="5">
                  <c:v>4190</c:v>
                </c:pt>
                <c:pt idx="6">
                  <c:v>4260</c:v>
                </c:pt>
                <c:pt idx="7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9F-4003-9F44-271937D62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8944"/>
        <c:axId val="523624024"/>
      </c:lineChart>
      <c:lineChart>
        <c:grouping val="standard"/>
        <c:varyColors val="0"/>
        <c:ser>
          <c:idx val="1"/>
          <c:order val="8"/>
          <c:tx>
            <c:strRef>
              <c:f>Selectie3!$K$29</c:f>
              <c:strCache>
                <c:ptCount val="1"/>
                <c:pt idx="0">
                  <c:v>WkSel</c:v>
                </c:pt>
              </c:strCache>
            </c:strRef>
          </c:tx>
          <c:spPr>
            <a:ln w="31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BEE120B-B84B-4FCD-85F1-1E4285E7ECD4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C9F-4003-9F44-271937D624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A8F457E-BEDA-417E-AC3B-8534F1F90097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C9F-4003-9F44-271937D624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0C199B9-8167-4D6B-BA9C-41EC36712498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C9F-4003-9F44-271937D624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270AFF-904F-45A0-974D-A02FC8C91207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C9F-4003-9F44-271937D624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94298C-44FA-4A5C-B569-EE9D654B448F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C9F-4003-9F44-271937D624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C12B731-8D81-4357-B30F-A451E3C11ACE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C9F-4003-9F44-271937D624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FACC4D-7DDE-4A29-A815-1C9CDD65C2D3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C9F-4003-9F44-271937D624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6DC6CB8-8500-42EB-8BCF-ACD7BD8E2C6C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C9F-4003-9F44-271937D62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Selectie3!$B$30:$B$37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Selectie3!$K$30:$K$37</c:f>
              <c:numCache>
                <c:formatCode>_ * #,##0_ ;_ * \-#,##0_ ;_ * "-"??_ ;_ @_ 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Selectie3!$L$30:$L$37</c15:f>
                <c15:dlblRangeCache>
                  <c:ptCount val="8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Gem = 3234,
 P25 = 2980, P75 = 3490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EC9F-4003-9F44-271937D62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7960"/>
        <c:axId val="523614512"/>
      </c:lineChart>
      <c:catAx>
        <c:axId val="5236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4024"/>
        <c:crosses val="autoZero"/>
        <c:auto val="1"/>
        <c:lblAlgn val="ctr"/>
        <c:lblOffset val="100"/>
        <c:noMultiLvlLbl val="0"/>
      </c:catAx>
      <c:valAx>
        <c:axId val="523624024"/>
        <c:scaling>
          <c:orientation val="minMax"/>
          <c:max val="50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8944"/>
        <c:crosses val="autoZero"/>
        <c:crossBetween val="between"/>
      </c:valAx>
      <c:valAx>
        <c:axId val="523614512"/>
        <c:scaling>
          <c:orientation val="minMax"/>
          <c:max val="1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7960"/>
        <c:crosses val="max"/>
        <c:crossBetween val="between"/>
      </c:valAx>
      <c:catAx>
        <c:axId val="52362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614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Vergelijken!$O$6</c:f>
          <c:strCache>
            <c:ptCount val="1"/>
            <c:pt idx="0">
              <c:v> Geboortegewicht in gram (m, Eerstgeboren)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581494506862519E-2"/>
          <c:y val="0.2013481517935258"/>
          <c:w val="0.88926391612115674"/>
          <c:h val="0.6069715113735783"/>
        </c:manualLayout>
      </c:layout>
      <c:barChart>
        <c:barDir val="col"/>
        <c:grouping val="clustered"/>
        <c:varyColors val="0"/>
        <c:ser>
          <c:idx val="9"/>
          <c:order val="9"/>
          <c:tx>
            <c:strRef>
              <c:f>Vergelijken!$K$33</c:f>
              <c:strCache>
                <c:ptCount val="1"/>
                <c:pt idx="0">
                  <c:v>VergWk</c:v>
                </c:pt>
              </c:strCache>
            </c:strRef>
          </c:tx>
          <c:spPr>
            <a:solidFill>
              <a:schemeClr val="bg1">
                <a:lumMod val="65000"/>
                <a:alpha val="5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Vergelijken!$K$34:$K$41</c:f>
              <c:numCache>
                <c:formatCode>_ * #,##0_ ;_ * \-#,##0_ ;_ * "-"??_ ;_ @_ 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FAD-4353-8475-683B5C81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709018360"/>
        <c:axId val="709016064"/>
      </c:barChart>
      <c:lineChart>
        <c:grouping val="standard"/>
        <c:varyColors val="0"/>
        <c:ser>
          <c:idx val="2"/>
          <c:order val="0"/>
          <c:tx>
            <c:strRef>
              <c:f>Vergelijken!$D$33</c:f>
              <c:strCache>
                <c:ptCount val="1"/>
                <c:pt idx="0">
                  <c:v>P5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Vergelijken!$D$34:$D$41</c:f>
              <c:numCache>
                <c:formatCode>_ * #,##0_ ;_ * \-#,##0_ ;_ * "-"??_ ;_ @_ </c:formatCode>
                <c:ptCount val="8"/>
                <c:pt idx="0">
                  <c:v>2110</c:v>
                </c:pt>
                <c:pt idx="1">
                  <c:v>2180</c:v>
                </c:pt>
                <c:pt idx="2">
                  <c:v>2370</c:v>
                </c:pt>
                <c:pt idx="3">
                  <c:v>2600</c:v>
                </c:pt>
                <c:pt idx="4">
                  <c:v>2690</c:v>
                </c:pt>
                <c:pt idx="5">
                  <c:v>2810</c:v>
                </c:pt>
                <c:pt idx="6">
                  <c:v>2910</c:v>
                </c:pt>
                <c:pt idx="7">
                  <c:v>2770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D-4353-8475-683B5C81CC27}"/>
            </c:ext>
          </c:extLst>
        </c:ser>
        <c:ser>
          <c:idx val="3"/>
          <c:order val="1"/>
          <c:tx>
            <c:strRef>
              <c:f>Vergelijken!$E$33</c:f>
              <c:strCache>
                <c:ptCount val="1"/>
                <c:pt idx="0">
                  <c:v>P10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Vergelijken!$E$34:$E$41</c:f>
              <c:numCache>
                <c:formatCode>_ * #,##0_ ;_ * \-#,##0_ ;_ * "-"??_ ;_ @_ </c:formatCode>
                <c:ptCount val="8"/>
                <c:pt idx="0">
                  <c:v>2290</c:v>
                </c:pt>
                <c:pt idx="1">
                  <c:v>2370</c:v>
                </c:pt>
                <c:pt idx="2">
                  <c:v>2510</c:v>
                </c:pt>
                <c:pt idx="3">
                  <c:v>2730</c:v>
                </c:pt>
                <c:pt idx="4">
                  <c:v>2850</c:v>
                </c:pt>
                <c:pt idx="5">
                  <c:v>3000</c:v>
                </c:pt>
                <c:pt idx="6">
                  <c:v>3060</c:v>
                </c:pt>
                <c:pt idx="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D-4353-8475-683B5C81CC27}"/>
            </c:ext>
          </c:extLst>
        </c:ser>
        <c:ser>
          <c:idx val="4"/>
          <c:order val="2"/>
          <c:tx>
            <c:strRef>
              <c:f>Vergelijken!$F$33</c:f>
              <c:strCache>
                <c:ptCount val="1"/>
                <c:pt idx="0">
                  <c:v>P25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Vergelijken!$F$34:$F$41</c:f>
              <c:numCache>
                <c:formatCode>_ * #,##0_ ;_ * \-#,##0_ ;_ * "-"??_ ;_ @_ </c:formatCode>
                <c:ptCount val="8"/>
                <c:pt idx="0">
                  <c:v>2530</c:v>
                </c:pt>
                <c:pt idx="1">
                  <c:v>2550</c:v>
                </c:pt>
                <c:pt idx="2">
                  <c:v>2790</c:v>
                </c:pt>
                <c:pt idx="3">
                  <c:v>2980</c:v>
                </c:pt>
                <c:pt idx="4">
                  <c:v>3100</c:v>
                </c:pt>
                <c:pt idx="5">
                  <c:v>3220</c:v>
                </c:pt>
                <c:pt idx="6">
                  <c:v>3280</c:v>
                </c:pt>
                <c:pt idx="7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D-4353-8475-683B5C81CC27}"/>
            </c:ext>
          </c:extLst>
        </c:ser>
        <c:ser>
          <c:idx val="0"/>
          <c:order val="3"/>
          <c:tx>
            <c:strRef>
              <c:f>Vergelijken!$C$33</c:f>
              <c:strCache>
                <c:ptCount val="1"/>
                <c:pt idx="0">
                  <c:v>Gem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Vergelijken!$C$34:$C$41</c:f>
              <c:numCache>
                <c:formatCode>_ * #,##0_ ;_ * \-#,##0_ ;_ * "-"??_ ;_ @_ </c:formatCode>
                <c:ptCount val="8"/>
                <c:pt idx="0">
                  <c:v>2781</c:v>
                </c:pt>
                <c:pt idx="1">
                  <c:v>2850</c:v>
                </c:pt>
                <c:pt idx="2">
                  <c:v>3076</c:v>
                </c:pt>
                <c:pt idx="3">
                  <c:v>3234</c:v>
                </c:pt>
                <c:pt idx="4">
                  <c:v>3376</c:v>
                </c:pt>
                <c:pt idx="5">
                  <c:v>3495</c:v>
                </c:pt>
                <c:pt idx="6">
                  <c:v>3575</c:v>
                </c:pt>
                <c:pt idx="7">
                  <c:v>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AD-4353-8475-683B5C81CC27}"/>
            </c:ext>
          </c:extLst>
        </c:ser>
        <c:ser>
          <c:idx val="5"/>
          <c:order val="4"/>
          <c:tx>
            <c:strRef>
              <c:f>Vergelijken!$G$33</c:f>
              <c:strCache>
                <c:ptCount val="1"/>
                <c:pt idx="0">
                  <c:v>P50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Vergelijken!$G$34:$G$41</c:f>
              <c:numCache>
                <c:formatCode>_ * #,##0_ ;_ * \-#,##0_ ;_ * "-"??_ ;_ @_ </c:formatCode>
                <c:ptCount val="8"/>
                <c:pt idx="0">
                  <c:v>2820</c:v>
                </c:pt>
                <c:pt idx="1">
                  <c:v>2840</c:v>
                </c:pt>
                <c:pt idx="2">
                  <c:v>3120</c:v>
                </c:pt>
                <c:pt idx="3">
                  <c:v>3250</c:v>
                </c:pt>
                <c:pt idx="4">
                  <c:v>3370</c:v>
                </c:pt>
                <c:pt idx="5">
                  <c:v>3490</c:v>
                </c:pt>
                <c:pt idx="6">
                  <c:v>3580</c:v>
                </c:pt>
                <c:pt idx="7">
                  <c:v>3570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AD-4353-8475-683B5C81CC27}"/>
            </c:ext>
          </c:extLst>
        </c:ser>
        <c:ser>
          <c:idx val="6"/>
          <c:order val="5"/>
          <c:tx>
            <c:strRef>
              <c:f>Vergelijken!$H$33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Vergelijken!$H$34:$H$41</c:f>
              <c:numCache>
                <c:formatCode>_ * #,##0_ ;_ * \-#,##0_ ;_ * "-"??_ ;_ @_ </c:formatCode>
                <c:ptCount val="8"/>
                <c:pt idx="0">
                  <c:v>3050</c:v>
                </c:pt>
                <c:pt idx="1">
                  <c:v>3130</c:v>
                </c:pt>
                <c:pt idx="2">
                  <c:v>3350</c:v>
                </c:pt>
                <c:pt idx="3">
                  <c:v>3490</c:v>
                </c:pt>
                <c:pt idx="4">
                  <c:v>3650</c:v>
                </c:pt>
                <c:pt idx="5">
                  <c:v>3760</c:v>
                </c:pt>
                <c:pt idx="6">
                  <c:v>3850</c:v>
                </c:pt>
                <c:pt idx="7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AD-4353-8475-683B5C81CC27}"/>
            </c:ext>
          </c:extLst>
        </c:ser>
        <c:ser>
          <c:idx val="7"/>
          <c:order val="6"/>
          <c:tx>
            <c:strRef>
              <c:f>Vergelijken!$I$33</c:f>
              <c:strCache>
                <c:ptCount val="1"/>
                <c:pt idx="0">
                  <c:v>P90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Vergelijken!$I$34:$I$41</c:f>
              <c:numCache>
                <c:formatCode>_ * #,##0_ ;_ * \-#,##0_ ;_ * "-"??_ ;_ @_ </c:formatCode>
                <c:ptCount val="8"/>
                <c:pt idx="0">
                  <c:v>3220</c:v>
                </c:pt>
                <c:pt idx="1">
                  <c:v>3410</c:v>
                </c:pt>
                <c:pt idx="2">
                  <c:v>3620</c:v>
                </c:pt>
                <c:pt idx="3">
                  <c:v>3730</c:v>
                </c:pt>
                <c:pt idx="4">
                  <c:v>3910</c:v>
                </c:pt>
                <c:pt idx="5">
                  <c:v>4010</c:v>
                </c:pt>
                <c:pt idx="6">
                  <c:v>4100</c:v>
                </c:pt>
                <c:pt idx="7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AD-4353-8475-683B5C81CC27}"/>
            </c:ext>
          </c:extLst>
        </c:ser>
        <c:ser>
          <c:idx val="8"/>
          <c:order val="7"/>
          <c:tx>
            <c:strRef>
              <c:f>Vergelijken!$J$33</c:f>
              <c:strCache>
                <c:ptCount val="1"/>
                <c:pt idx="0">
                  <c:v>P95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Vergelijken!$J$34:$J$41</c:f>
              <c:numCache>
                <c:formatCode>_ * #,##0_ ;_ * \-#,##0_ ;_ * "-"??_ ;_ @_ </c:formatCode>
                <c:ptCount val="8"/>
                <c:pt idx="0">
                  <c:v>3300</c:v>
                </c:pt>
                <c:pt idx="1">
                  <c:v>3550</c:v>
                </c:pt>
                <c:pt idx="2">
                  <c:v>3790</c:v>
                </c:pt>
                <c:pt idx="3">
                  <c:v>3840</c:v>
                </c:pt>
                <c:pt idx="4">
                  <c:v>4070</c:v>
                </c:pt>
                <c:pt idx="5">
                  <c:v>4190</c:v>
                </c:pt>
                <c:pt idx="6">
                  <c:v>4260</c:v>
                </c:pt>
                <c:pt idx="7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AD-4353-8475-683B5C81CC27}"/>
            </c:ext>
          </c:extLst>
        </c:ser>
        <c:ser>
          <c:idx val="1"/>
          <c:order val="8"/>
          <c:tx>
            <c:strRef>
              <c:f>Vergelijken!$N$33</c:f>
              <c:strCache>
                <c:ptCount val="1"/>
                <c:pt idx="0">
                  <c:v>VergGew</c:v>
                </c:pt>
              </c:strCache>
            </c:strRef>
          </c:tx>
          <c:spPr>
            <a:ln w="127000" cap="rnd" cmpd="sng">
              <a:solidFill>
                <a:schemeClr val="bg1">
                  <a:lumMod val="65000"/>
                  <a:alpha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Vergelijken!$N$34:$N$41</c:f>
              <c:numCache>
                <c:formatCode>_ * #,##0_ ;_ * \-#,##0_ ;_ * "-"??_ ;_ @_ </c:formatCode>
                <c:ptCount val="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FAD-4353-8475-683B5C81CC27}"/>
            </c:ext>
          </c:extLst>
        </c:ser>
        <c:ser>
          <c:idx val="10"/>
          <c:order val="10"/>
          <c:tx>
            <c:strRef>
              <c:f>Vergelijken!$L$33</c:f>
              <c:strCache>
                <c:ptCount val="1"/>
                <c:pt idx="0">
                  <c:v>Verg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7F1-4343-B902-50538D51FD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7F1-4343-B902-50538D51FD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7F1-4343-B902-50538D51FD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32356CD-E3CE-4195-BEDB-830E3F07FA1F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7F1-4343-B902-50538D51FD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7F1-4343-B902-50538D51FD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7F1-4343-B902-50538D51FD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7F1-4343-B902-50538D51FD7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nl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7F1-4343-B902-50538D51FD71}"/>
                </c:ext>
              </c:extLst>
            </c:dLbl>
            <c:spPr>
              <a:solidFill>
                <a:schemeClr val="bg1">
                  <a:lumMod val="65000"/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Vergelijken!$B$34:$B$41</c:f>
              <c:numCache>
                <c:formatCode>General</c:formatCode>
                <c:ptCount val="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</c:numCache>
            </c:numRef>
          </c:cat>
          <c:val>
            <c:numRef>
              <c:f>Vergelijken!$L$34:$L$41</c:f>
              <c:numCache>
                <c:formatCode>_ * #,##0_ ;_ * \-#,##0_ ;_ * "-"??_ ;_ @_ 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3000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Vergelijken!$M$34:$M$41</c15:f>
                <c15:dlblRangeCache>
                  <c:ptCount val="8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27% is lichter dan Gijs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A7F1-4343-B902-50538D51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8944"/>
        <c:axId val="523624024"/>
      </c:lineChart>
      <c:catAx>
        <c:axId val="5236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4024"/>
        <c:crosses val="autoZero"/>
        <c:auto val="1"/>
        <c:lblAlgn val="ctr"/>
        <c:lblOffset val="100"/>
        <c:noMultiLvlLbl val="0"/>
      </c:catAx>
      <c:valAx>
        <c:axId val="523624024"/>
        <c:scaling>
          <c:orientation val="minMax"/>
          <c:max val="50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3628944"/>
        <c:crosses val="autoZero"/>
        <c:crossBetween val="between"/>
      </c:valAx>
      <c:valAx>
        <c:axId val="709016064"/>
        <c:scaling>
          <c:orientation val="minMax"/>
          <c:max val="1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09018360"/>
        <c:crosses val="max"/>
        <c:crossBetween val="between"/>
      </c:valAx>
      <c:catAx>
        <c:axId val="709018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01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N$2" lockText="1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Radio" checked="Checked" firstButton="1" fmlaLink="$M$7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checked="Checked" firstButton="1" fmlaLink="$N$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Scroll" dx="26" fmlaLink="$N$4" horiz="1" max="43" min="36" page="3" val="39"/>
</file>

<file path=xl/ctrlProps/ctrlProp8.xml><?xml version="1.0" encoding="utf-8"?>
<formControlPr xmlns="http://schemas.microsoft.com/office/spreadsheetml/2009/9/main" objectType="Radio" checked="Checked" firstButton="1" fmlaLink="$M$6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0</xdr:colOff>
      <xdr:row>33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0</xdr:colOff>
      <xdr:row>36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</xdr:rowOff>
    </xdr:from>
    <xdr:to>
      <xdr:col>10</xdr:col>
      <xdr:colOff>0</xdr:colOff>
      <xdr:row>25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1</xdr:row>
          <xdr:rowOff>175260</xdr:rowOff>
        </xdr:from>
        <xdr:to>
          <xdr:col>2</xdr:col>
          <xdr:colOff>411480</xdr:colOff>
          <xdr:row>3</xdr:row>
          <xdr:rowOff>68580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</xdr:row>
          <xdr:rowOff>167640</xdr:rowOff>
        </xdr:from>
        <xdr:to>
          <xdr:col>3</xdr:col>
          <xdr:colOff>160020</xdr:colOff>
          <xdr:row>3</xdr:row>
          <xdr:rowOff>68580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</xdr:row>
          <xdr:rowOff>22860</xdr:rowOff>
        </xdr:from>
        <xdr:to>
          <xdr:col>3</xdr:col>
          <xdr:colOff>457200</xdr:colOff>
          <xdr:row>4</xdr:row>
          <xdr:rowOff>22860</xdr:rowOff>
        </xdr:to>
        <xdr:sp macro="" textlink="">
          <xdr:nvSpPr>
            <xdr:cNvPr id="3075" name="Group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Geslacht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</xdr:row>
          <xdr:rowOff>160020</xdr:rowOff>
        </xdr:from>
        <xdr:to>
          <xdr:col>6</xdr:col>
          <xdr:colOff>533400</xdr:colOff>
          <xdr:row>3</xdr:row>
          <xdr:rowOff>91440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Eerstgeboren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</xdr:row>
          <xdr:rowOff>175260</xdr:rowOff>
        </xdr:from>
        <xdr:to>
          <xdr:col>8</xdr:col>
          <xdr:colOff>502920</xdr:colOff>
          <xdr:row>3</xdr:row>
          <xdr:rowOff>76200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Latergeboren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</xdr:row>
          <xdr:rowOff>30480</xdr:rowOff>
        </xdr:from>
        <xdr:to>
          <xdr:col>9</xdr:col>
          <xdr:colOff>289560</xdr:colOff>
          <xdr:row>4</xdr:row>
          <xdr:rowOff>22860</xdr:rowOff>
        </xdr:to>
        <xdr:sp macro="" textlink="">
          <xdr:nvSpPr>
            <xdr:cNvPr id="3079" name="Group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nl-N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320040</xdr:colOff>
          <xdr:row>22</xdr:row>
          <xdr:rowOff>91440</xdr:rowOff>
        </xdr:from>
        <xdr:to>
          <xdr:col>9</xdr:col>
          <xdr:colOff>579120</xdr:colOff>
          <xdr:row>23</xdr:row>
          <xdr:rowOff>83820</xdr:rowOff>
        </xdr:to>
        <xdr:sp macro="" textlink="">
          <xdr:nvSpPr>
            <xdr:cNvPr id="3080" name="Scroll Ba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7620</xdr:rowOff>
    </xdr:from>
    <xdr:to>
      <xdr:col>10</xdr:col>
      <xdr:colOff>465666</xdr:colOff>
      <xdr:row>29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5</xdr:row>
          <xdr:rowOff>175260</xdr:rowOff>
        </xdr:from>
        <xdr:to>
          <xdr:col>2</xdr:col>
          <xdr:colOff>449580</xdr:colOff>
          <xdr:row>7</xdr:row>
          <xdr:rowOff>60960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</xdr:row>
          <xdr:rowOff>167640</xdr:rowOff>
        </xdr:from>
        <xdr:to>
          <xdr:col>3</xdr:col>
          <xdr:colOff>106680</xdr:colOff>
          <xdr:row>7</xdr:row>
          <xdr:rowOff>60960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5</xdr:row>
          <xdr:rowOff>22860</xdr:rowOff>
        </xdr:from>
        <xdr:to>
          <xdr:col>4</xdr:col>
          <xdr:colOff>175260</xdr:colOff>
          <xdr:row>8</xdr:row>
          <xdr:rowOff>22860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Geslacht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</xdr:row>
          <xdr:rowOff>160020</xdr:rowOff>
        </xdr:from>
        <xdr:to>
          <xdr:col>6</xdr:col>
          <xdr:colOff>464820</xdr:colOff>
          <xdr:row>7</xdr:row>
          <xdr:rowOff>83820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Eerstgeboren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175260</xdr:rowOff>
        </xdr:from>
        <xdr:to>
          <xdr:col>9</xdr:col>
          <xdr:colOff>152400</xdr:colOff>
          <xdr:row>7</xdr:row>
          <xdr:rowOff>68580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Latergeboren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30480</xdr:rowOff>
        </xdr:from>
        <xdr:to>
          <xdr:col>9</xdr:col>
          <xdr:colOff>434340</xdr:colOff>
          <xdr:row>8</xdr:row>
          <xdr:rowOff>22860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nl-N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Soort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412498-27FF-4E7C-A555-0B4935589E02}" name="tblData" displayName="tblData" ref="B4:N36" totalsRowShown="0">
  <autoFilter ref="B4:N36" xr:uid="{839BAEEF-543F-4BA4-A48A-E798726E15DF}"/>
  <tableColumns count="13">
    <tableColumn id="1" xr3:uid="{8D228800-F11C-4835-A525-8F9C2D7487CA}" name="Geslacht"/>
    <tableColumn id="2" xr3:uid="{30EC418B-1AC4-4850-8143-CD222A2FEC9B}" name="Eerst/later"/>
    <tableColumn id="3" xr3:uid="{A3FF75B2-65DA-4B3D-A2EB-A119BDB38220}" name="Week"/>
    <tableColumn id="4" xr3:uid="{21C433E6-587E-4EC2-8A1C-BCF0EE17E84F}" name="n"/>
    <tableColumn id="5" xr3:uid="{9A0CAEC1-35D2-4770-9D28-412E2099A785}" name="Gem"/>
    <tableColumn id="6" xr3:uid="{E25A4C5B-E2FF-4DCA-8EAC-E6B39D56803C}" name="P5"/>
    <tableColumn id="7" xr3:uid="{F55F7E68-7923-4221-B6BC-994518288EF0}" name="P10"/>
    <tableColumn id="8" xr3:uid="{8C096267-A3D5-4520-A217-33A8FAC4F219}" name="P25"/>
    <tableColumn id="9" xr3:uid="{E0DF8681-874B-4D71-A6AF-E34A19F381C3}" name="P50"/>
    <tableColumn id="10" xr3:uid="{A72ED3BC-BB28-47CB-A492-75EA17A8BE20}" name="P75"/>
    <tableColumn id="11" xr3:uid="{9FD4FAF7-966A-499C-ABCB-40CE8C9077AC}" name="P90"/>
    <tableColumn id="12" xr3:uid="{4DA1973A-0377-4D43-A067-3859EE2A1D52}" name="P95"/>
    <tableColumn id="13" xr3:uid="{7339F9E7-6BEB-4166-A634-796A2589E505}" name="n*Gem" dataDxfId="5">
      <calculatedColumnFormula>tblData[[#This Row],[n]]*tblData[[#This Row],[Gem]]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ntvg.nl/artikelen/verschillen-de-geboortegewichten-van-vroeger-en-n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ctrlProp" Target="../ctrlProps/ctrlProp8.xml"/><Relationship Id="rId7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DE62-B454-4760-B8B9-172430EA3595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55" customWidth="1"/>
    <col min="2" max="3" width="8.77734375" style="55" customWidth="1"/>
    <col min="4" max="4" width="2.6640625" style="55" customWidth="1"/>
    <col min="5" max="13" width="8.77734375" style="55" customWidth="1"/>
    <col min="14" max="14" width="5.77734375" style="55" customWidth="1"/>
    <col min="15" max="15" width="10.33203125" style="55" customWidth="1"/>
    <col min="16" max="16" width="2.77734375" style="55" customWidth="1"/>
    <col min="17" max="26" width="9.109375" style="55" customWidth="1"/>
    <col min="27" max="16384" width="9.109375" style="55" hidden="1"/>
  </cols>
  <sheetData>
    <row r="1" spans="1:44" ht="7.0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</row>
    <row r="2" spans="1:44" ht="13.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</row>
    <row r="3" spans="1:44" ht="13.2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</row>
    <row r="4" spans="1:44" ht="13.8" thickBot="1" x14ac:dyDescent="0.3">
      <c r="A4" s="54"/>
      <c r="B4" s="54"/>
      <c r="C4" s="54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 spans="1:44" ht="13.8" thickTop="1" x14ac:dyDescent="0.25">
      <c r="A5" s="54"/>
      <c r="B5" s="54"/>
      <c r="C5" s="54"/>
      <c r="D5" s="56"/>
      <c r="E5" s="57"/>
      <c r="F5" s="58"/>
      <c r="G5" s="58"/>
      <c r="H5" s="58"/>
      <c r="I5" s="58"/>
      <c r="J5" s="58"/>
      <c r="K5" s="58"/>
      <c r="L5" s="58"/>
      <c r="M5" s="58"/>
      <c r="N5" s="58"/>
      <c r="O5" s="59"/>
      <c r="P5" s="56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</row>
    <row r="6" spans="1:44" ht="21" x14ac:dyDescent="0.4">
      <c r="A6" s="54"/>
      <c r="B6" s="54"/>
      <c r="C6" s="54"/>
      <c r="D6" s="56"/>
      <c r="E6" s="60"/>
      <c r="F6" s="61"/>
      <c r="G6" s="56"/>
      <c r="H6" s="56"/>
      <c r="I6" s="56"/>
      <c r="J6" s="56"/>
      <c r="K6" s="56"/>
      <c r="L6" s="56"/>
      <c r="M6" s="56"/>
      <c r="N6" s="56"/>
      <c r="O6" s="62"/>
      <c r="P6" s="56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</row>
    <row r="7" spans="1:44" ht="13.2" x14ac:dyDescent="0.25">
      <c r="A7" s="54"/>
      <c r="B7" s="54"/>
      <c r="C7" s="54"/>
      <c r="D7" s="56"/>
      <c r="E7" s="60"/>
      <c r="F7" s="56"/>
      <c r="G7" s="56"/>
      <c r="H7" s="56"/>
      <c r="I7" s="56"/>
      <c r="J7" s="56"/>
      <c r="K7" s="56"/>
      <c r="L7" s="56"/>
      <c r="M7" s="56"/>
      <c r="N7" s="56"/>
      <c r="O7" s="62"/>
      <c r="P7" s="56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4" ht="13.2" x14ac:dyDescent="0.25">
      <c r="A8" s="54"/>
      <c r="B8" s="54"/>
      <c r="C8" s="54"/>
      <c r="D8" s="56"/>
      <c r="E8" s="60"/>
      <c r="F8" s="56"/>
      <c r="G8" s="56"/>
      <c r="H8" s="56"/>
      <c r="I8" s="56"/>
      <c r="J8" s="56"/>
      <c r="K8" s="56"/>
      <c r="L8" s="56"/>
      <c r="M8" s="56"/>
      <c r="N8" s="56"/>
      <c r="O8" s="62"/>
      <c r="P8" s="56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</row>
    <row r="9" spans="1:44" ht="13.2" x14ac:dyDescent="0.25">
      <c r="A9" s="54"/>
      <c r="B9" s="54"/>
      <c r="C9" s="54"/>
      <c r="D9" s="56"/>
      <c r="E9" s="60"/>
      <c r="F9" s="56"/>
      <c r="G9" s="56"/>
      <c r="H9" s="56"/>
      <c r="I9" s="56"/>
      <c r="J9" s="56"/>
      <c r="K9" s="56"/>
      <c r="L9" s="56"/>
      <c r="M9" s="56"/>
      <c r="N9" s="56"/>
      <c r="O9" s="62"/>
      <c r="P9" s="56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 spans="1:44" ht="13.2" x14ac:dyDescent="0.25">
      <c r="A10" s="54"/>
      <c r="B10" s="54"/>
      <c r="C10" s="54"/>
      <c r="D10" s="56"/>
      <c r="E10" s="60"/>
      <c r="F10" s="56"/>
      <c r="G10" s="56"/>
      <c r="H10" s="56"/>
      <c r="I10" s="56"/>
      <c r="J10" s="56"/>
      <c r="K10" s="56"/>
      <c r="L10" s="56"/>
      <c r="M10" s="56"/>
      <c r="N10" s="56"/>
      <c r="O10" s="62"/>
      <c r="P10" s="56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</row>
    <row r="11" spans="1:44" ht="13.2" x14ac:dyDescent="0.25">
      <c r="A11" s="54"/>
      <c r="B11" s="54"/>
      <c r="C11" s="54"/>
      <c r="D11" s="56"/>
      <c r="E11" s="60"/>
      <c r="F11" s="56"/>
      <c r="G11" s="56"/>
      <c r="H11" s="56"/>
      <c r="I11" s="56"/>
      <c r="J11" s="56"/>
      <c r="K11" s="56"/>
      <c r="L11" s="56"/>
      <c r="M11" s="56"/>
      <c r="N11" s="56"/>
      <c r="O11" s="62"/>
      <c r="P11" s="56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</row>
    <row r="12" spans="1:44" ht="13.2" x14ac:dyDescent="0.25">
      <c r="A12" s="54"/>
      <c r="B12" s="54"/>
      <c r="C12" s="54"/>
      <c r="D12" s="56"/>
      <c r="E12" s="60"/>
      <c r="F12" s="56"/>
      <c r="G12" s="56"/>
      <c r="H12" s="56"/>
      <c r="I12" s="56"/>
      <c r="J12" s="56"/>
      <c r="K12" s="56"/>
      <c r="L12" s="56"/>
      <c r="M12" s="56"/>
      <c r="N12" s="56"/>
      <c r="O12" s="62"/>
      <c r="P12" s="56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</row>
    <row r="13" spans="1:44" ht="13.2" x14ac:dyDescent="0.25">
      <c r="A13" s="54"/>
      <c r="B13" s="54"/>
      <c r="C13" s="54"/>
      <c r="D13" s="56"/>
      <c r="E13" s="60"/>
      <c r="F13" s="56"/>
      <c r="G13" s="56"/>
      <c r="H13" s="56"/>
      <c r="I13" s="56"/>
      <c r="J13" s="56"/>
      <c r="K13" s="56"/>
      <c r="L13" s="56"/>
      <c r="M13" s="56"/>
      <c r="N13" s="56"/>
      <c r="O13" s="62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</row>
    <row r="14" spans="1:44" ht="13.2" x14ac:dyDescent="0.25">
      <c r="A14" s="54"/>
      <c r="B14" s="54"/>
      <c r="C14" s="54"/>
      <c r="D14" s="56"/>
      <c r="E14" s="60"/>
      <c r="F14" s="56"/>
      <c r="G14" s="56"/>
      <c r="H14" s="56"/>
      <c r="I14" s="56"/>
      <c r="J14" s="56"/>
      <c r="K14" s="56"/>
      <c r="L14" s="56"/>
      <c r="M14" s="56"/>
      <c r="N14" s="56"/>
      <c r="O14" s="62"/>
      <c r="P14" s="56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</row>
    <row r="15" spans="1:44" ht="13.2" x14ac:dyDescent="0.25">
      <c r="A15" s="54"/>
      <c r="B15" s="54"/>
      <c r="C15" s="54"/>
      <c r="D15" s="56"/>
      <c r="E15" s="60"/>
      <c r="F15" s="56"/>
      <c r="G15" s="56"/>
      <c r="H15" s="56"/>
      <c r="I15" s="56"/>
      <c r="J15" s="56"/>
      <c r="K15" s="56"/>
      <c r="L15" s="56"/>
      <c r="M15" s="56"/>
      <c r="N15" s="56"/>
      <c r="O15" s="62"/>
      <c r="P15" s="56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</row>
    <row r="16" spans="1:44" ht="13.2" x14ac:dyDescent="0.25">
      <c r="A16" s="54"/>
      <c r="B16" s="54"/>
      <c r="C16" s="54"/>
      <c r="D16" s="56"/>
      <c r="E16" s="60"/>
      <c r="F16" s="56"/>
      <c r="G16" s="56"/>
      <c r="H16" s="56"/>
      <c r="I16" s="56"/>
      <c r="J16" s="56"/>
      <c r="K16" s="56"/>
      <c r="L16" s="56"/>
      <c r="M16" s="56"/>
      <c r="N16" s="56"/>
      <c r="O16" s="62"/>
      <c r="P16" s="56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</row>
    <row r="17" spans="1:44" ht="13.2" x14ac:dyDescent="0.25">
      <c r="A17" s="54"/>
      <c r="B17" s="54"/>
      <c r="C17" s="54"/>
      <c r="D17" s="56"/>
      <c r="E17" s="60"/>
      <c r="F17" s="56"/>
      <c r="G17" s="56"/>
      <c r="H17" s="56"/>
      <c r="I17" s="56"/>
      <c r="J17" s="56"/>
      <c r="K17" s="56"/>
      <c r="L17" s="56"/>
      <c r="M17" s="56"/>
      <c r="N17" s="56"/>
      <c r="O17" s="62"/>
      <c r="P17" s="56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</row>
    <row r="18" spans="1:44" ht="37.799999999999997" x14ac:dyDescent="0.65">
      <c r="A18" s="54"/>
      <c r="B18" s="54"/>
      <c r="C18" s="54"/>
      <c r="D18" s="56"/>
      <c r="E18" s="60"/>
      <c r="F18" s="56"/>
      <c r="G18" s="56"/>
      <c r="H18" s="56"/>
      <c r="I18" s="56"/>
      <c r="J18" s="56"/>
      <c r="K18" s="56"/>
      <c r="L18" s="56"/>
      <c r="M18" s="56"/>
      <c r="N18" s="63"/>
      <c r="O18" s="62"/>
      <c r="P18" s="56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</row>
    <row r="19" spans="1:44" ht="13.2" x14ac:dyDescent="0.25">
      <c r="A19" s="54"/>
      <c r="B19" s="54"/>
      <c r="C19" s="54"/>
      <c r="D19" s="56"/>
      <c r="E19" s="60"/>
      <c r="F19" s="56"/>
      <c r="G19" s="56"/>
      <c r="H19" s="56"/>
      <c r="I19" s="56"/>
      <c r="J19" s="56"/>
      <c r="K19" s="56"/>
      <c r="L19" s="56"/>
      <c r="M19" s="56"/>
      <c r="N19" s="56"/>
      <c r="O19" s="62"/>
      <c r="P19" s="56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</row>
    <row r="20" spans="1:44" ht="13.2" x14ac:dyDescent="0.25">
      <c r="A20" s="54"/>
      <c r="B20" s="54"/>
      <c r="C20" s="54"/>
      <c r="D20" s="56"/>
      <c r="E20" s="60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56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</row>
    <row r="21" spans="1:44" ht="13.2" x14ac:dyDescent="0.25">
      <c r="A21" s="54"/>
      <c r="B21" s="54"/>
      <c r="C21" s="54"/>
      <c r="D21" s="56"/>
      <c r="E21" s="60"/>
      <c r="F21" s="56"/>
      <c r="G21" s="56"/>
      <c r="H21" s="56"/>
      <c r="I21" s="56"/>
      <c r="J21" s="56"/>
      <c r="K21" s="56"/>
      <c r="L21" s="56"/>
      <c r="M21" s="56"/>
      <c r="N21" s="56"/>
      <c r="O21" s="62"/>
      <c r="P21" s="56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</row>
    <row r="22" spans="1:44" ht="13.2" x14ac:dyDescent="0.25">
      <c r="A22" s="54"/>
      <c r="B22" s="54"/>
      <c r="C22" s="54"/>
      <c r="D22" s="56"/>
      <c r="E22" s="60"/>
      <c r="F22" s="56"/>
      <c r="G22" s="56"/>
      <c r="H22" s="56"/>
      <c r="I22" s="56"/>
      <c r="J22" s="56"/>
      <c r="K22" s="56"/>
      <c r="L22" s="56"/>
      <c r="M22" s="56"/>
      <c r="N22" s="56"/>
      <c r="O22" s="62"/>
      <c r="P22" s="56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</row>
    <row r="23" spans="1:44" ht="13.2" x14ac:dyDescent="0.25">
      <c r="A23" s="54"/>
      <c r="B23" s="54"/>
      <c r="C23" s="54"/>
      <c r="D23" s="56"/>
      <c r="E23" s="60"/>
      <c r="F23" s="56"/>
      <c r="G23" s="56"/>
      <c r="H23" s="56"/>
      <c r="I23" s="56"/>
      <c r="J23" s="56"/>
      <c r="K23" s="56"/>
      <c r="L23" s="56"/>
      <c r="M23" s="56"/>
      <c r="N23" s="56"/>
      <c r="O23" s="62"/>
      <c r="P23" s="56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</row>
    <row r="24" spans="1:44" ht="22.8" x14ac:dyDescent="0.4">
      <c r="A24" s="54"/>
      <c r="B24" s="54"/>
      <c r="C24" s="54"/>
      <c r="D24" s="56"/>
      <c r="E24" s="60"/>
      <c r="F24" s="56"/>
      <c r="G24" s="56"/>
      <c r="H24" s="56"/>
      <c r="I24" s="56"/>
      <c r="J24" s="56"/>
      <c r="K24" s="56"/>
      <c r="L24" s="56"/>
      <c r="M24" s="56"/>
      <c r="N24" s="64" t="s">
        <v>46</v>
      </c>
      <c r="O24" s="62"/>
      <c r="P24" s="56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1:44" ht="13.2" x14ac:dyDescent="0.25">
      <c r="A25" s="54"/>
      <c r="B25" s="54"/>
      <c r="C25" s="54"/>
      <c r="D25" s="56"/>
      <c r="E25" s="60"/>
      <c r="F25" s="56"/>
      <c r="G25" s="56"/>
      <c r="H25" s="56"/>
      <c r="I25" s="56"/>
      <c r="J25" s="56"/>
      <c r="K25" s="56"/>
      <c r="L25" s="56"/>
      <c r="M25" s="56"/>
      <c r="N25" s="56"/>
      <c r="O25" s="62"/>
      <c r="P25" s="56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</row>
    <row r="26" spans="1:44" ht="13.2" x14ac:dyDescent="0.25">
      <c r="A26" s="54"/>
      <c r="B26" s="54"/>
      <c r="C26" s="54"/>
      <c r="D26" s="56"/>
      <c r="E26" s="60"/>
      <c r="F26" s="56"/>
      <c r="G26" s="56"/>
      <c r="H26" s="56"/>
      <c r="I26" s="56"/>
      <c r="J26" s="56"/>
      <c r="K26" s="56"/>
      <c r="L26" s="56"/>
      <c r="M26" s="56"/>
      <c r="N26" s="56"/>
      <c r="O26" s="62"/>
      <c r="P26" s="56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</row>
    <row r="27" spans="1:44" ht="13.2" x14ac:dyDescent="0.25">
      <c r="A27" s="54"/>
      <c r="B27" s="54"/>
      <c r="C27" s="54"/>
      <c r="D27" s="56"/>
      <c r="E27" s="60"/>
      <c r="F27" s="56"/>
      <c r="G27" s="56"/>
      <c r="H27" s="56"/>
      <c r="I27" s="56"/>
      <c r="J27" s="56"/>
      <c r="K27" s="56"/>
      <c r="L27" s="56"/>
      <c r="M27" s="56"/>
      <c r="N27" s="56"/>
      <c r="O27" s="62"/>
      <c r="P27" s="56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</row>
    <row r="28" spans="1:44" ht="13.2" x14ac:dyDescent="0.25">
      <c r="A28" s="54"/>
      <c r="B28" s="54"/>
      <c r="C28" s="54"/>
      <c r="D28" s="56"/>
      <c r="E28" s="60"/>
      <c r="F28" s="56"/>
      <c r="G28" s="56"/>
      <c r="H28" s="56"/>
      <c r="I28" s="56"/>
      <c r="J28" s="56"/>
      <c r="K28" s="56"/>
      <c r="L28" s="56"/>
      <c r="M28" s="56"/>
      <c r="N28" s="56"/>
      <c r="O28" s="62"/>
      <c r="P28" s="56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</row>
    <row r="29" spans="1:44" ht="13.2" x14ac:dyDescent="0.25">
      <c r="A29" s="54"/>
      <c r="B29" s="54"/>
      <c r="C29" s="54"/>
      <c r="D29" s="56"/>
      <c r="E29" s="60"/>
      <c r="F29" s="56"/>
      <c r="G29" s="56"/>
      <c r="H29" s="56"/>
      <c r="I29" s="56"/>
      <c r="J29" s="56"/>
      <c r="K29" s="56"/>
      <c r="L29" s="56"/>
      <c r="M29" s="56"/>
      <c r="N29" s="56"/>
      <c r="O29" s="62"/>
      <c r="P29" s="56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</row>
    <row r="30" spans="1:44" ht="13.2" x14ac:dyDescent="0.25">
      <c r="A30" s="54"/>
      <c r="B30" s="54"/>
      <c r="C30" s="54"/>
      <c r="D30" s="56"/>
      <c r="E30" s="60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56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</row>
    <row r="31" spans="1:44" ht="13.2" x14ac:dyDescent="0.25">
      <c r="A31" s="54"/>
      <c r="B31" s="54"/>
      <c r="C31" s="54"/>
      <c r="D31" s="56"/>
      <c r="E31" s="60"/>
      <c r="F31" s="56"/>
      <c r="G31" s="56"/>
      <c r="H31" s="56"/>
      <c r="I31" s="56"/>
      <c r="J31" s="56"/>
      <c r="K31" s="56"/>
      <c r="L31" s="56"/>
      <c r="M31" s="56"/>
      <c r="N31" s="56"/>
      <c r="O31" s="62"/>
      <c r="P31" s="56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</row>
    <row r="32" spans="1:44" ht="13.2" x14ac:dyDescent="0.25">
      <c r="A32" s="54"/>
      <c r="B32" s="54"/>
      <c r="C32" s="54"/>
      <c r="D32" s="56"/>
      <c r="E32" s="60"/>
      <c r="F32" s="56"/>
      <c r="G32" s="56"/>
      <c r="H32" s="56"/>
      <c r="I32" s="56"/>
      <c r="J32" s="56"/>
      <c r="K32" s="56"/>
      <c r="L32" s="56"/>
      <c r="M32" s="56"/>
      <c r="N32" s="56"/>
      <c r="O32" s="62"/>
      <c r="P32" s="56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  <row r="33" spans="1:44" ht="13.2" x14ac:dyDescent="0.25">
      <c r="A33" s="54"/>
      <c r="B33" s="54"/>
      <c r="C33" s="54"/>
      <c r="D33" s="56"/>
      <c r="E33" s="60"/>
      <c r="F33" s="56"/>
      <c r="G33" s="56"/>
      <c r="H33" s="56"/>
      <c r="I33" s="56"/>
      <c r="J33" s="56"/>
      <c r="K33" s="56"/>
      <c r="L33" s="56"/>
      <c r="M33" s="56"/>
      <c r="N33" s="65" t="s">
        <v>44</v>
      </c>
      <c r="O33" s="62"/>
      <c r="P33" s="56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</row>
    <row r="34" spans="1:44" ht="13.2" x14ac:dyDescent="0.25">
      <c r="A34" s="54"/>
      <c r="B34" s="54"/>
      <c r="C34" s="54"/>
      <c r="D34" s="56"/>
      <c r="E34" s="60"/>
      <c r="F34" s="56"/>
      <c r="G34" s="56"/>
      <c r="H34" s="56"/>
      <c r="I34" s="56"/>
      <c r="J34" s="56"/>
      <c r="K34" s="56"/>
      <c r="L34" s="56"/>
      <c r="M34" s="56"/>
      <c r="N34" s="66" t="s">
        <v>45</v>
      </c>
      <c r="O34" s="62"/>
      <c r="P34" s="56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</row>
    <row r="35" spans="1:44" ht="13.2" x14ac:dyDescent="0.25">
      <c r="A35" s="54"/>
      <c r="B35" s="54"/>
      <c r="C35" s="54"/>
      <c r="D35" s="56"/>
      <c r="E35" s="60"/>
      <c r="F35" s="56"/>
      <c r="G35" s="56"/>
      <c r="H35" s="56"/>
      <c r="I35" s="56"/>
      <c r="J35" s="56"/>
      <c r="K35" s="56"/>
      <c r="L35" s="56"/>
      <c r="M35" s="56"/>
      <c r="N35" s="67"/>
      <c r="O35" s="62"/>
      <c r="P35" s="56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</row>
    <row r="36" spans="1:44" ht="13.2" x14ac:dyDescent="0.25">
      <c r="A36" s="54"/>
      <c r="B36" s="54"/>
      <c r="C36" s="54"/>
      <c r="D36" s="56"/>
      <c r="E36" s="60"/>
      <c r="F36" s="56"/>
      <c r="G36" s="56"/>
      <c r="H36" s="56"/>
      <c r="I36" s="56"/>
      <c r="J36" s="56"/>
      <c r="K36" s="56"/>
      <c r="L36" s="56"/>
      <c r="M36" s="56"/>
      <c r="N36" s="56"/>
      <c r="O36" s="62"/>
      <c r="P36" s="56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</row>
    <row r="37" spans="1:44" ht="13.8" thickBot="1" x14ac:dyDescent="0.3">
      <c r="A37" s="54"/>
      <c r="B37" s="54"/>
      <c r="C37" s="54"/>
      <c r="D37" s="56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56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</row>
    <row r="38" spans="1:44" ht="13.8" thickTop="1" x14ac:dyDescent="0.25">
      <c r="A38" s="54"/>
      <c r="B38" s="54"/>
      <c r="C38" s="54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</row>
    <row r="39" spans="1:44" ht="13.2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</row>
    <row r="40" spans="1:44" ht="13.2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1:44" ht="13.2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</row>
    <row r="42" spans="1:44" ht="13.2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1:44" ht="13.2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 spans="1:44" ht="13.2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1:44" ht="13.2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</row>
    <row r="46" spans="1:44" ht="13.2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 spans="1:44" ht="13.2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 spans="1:44" ht="13.2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1:44" ht="13.2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 spans="1:44" ht="13.2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1:44" ht="13.2" hidden="1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1:44" ht="13.2" hidden="1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1:44" ht="13.2" hidden="1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 spans="1:44" ht="13.2" hidden="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</row>
    <row r="55" spans="1:44" ht="13.2" hidden="1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</row>
    <row r="56" spans="1:44" ht="13.2" hidden="1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</row>
    <row r="57" spans="1:44" ht="13.2" hidden="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 spans="1:44" ht="13.2" hidden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</row>
    <row r="59" spans="1:44" ht="13.2" hidden="1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1:44" ht="13.2" hidden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 spans="1:44" ht="13.2" hidden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1:44" ht="13.2" hidden="1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</row>
    <row r="63" spans="1:44" ht="13.2" hidden="1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</row>
    <row r="64" spans="1:44" ht="13.2" hidden="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</row>
    <row r="65" spans="1:44" ht="13.2" hidden="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</row>
    <row r="66" spans="1:44" ht="13.2" hidden="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</row>
    <row r="67" spans="1:44" ht="13.2" hidden="1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</row>
    <row r="68" spans="1:44" ht="13.2" hidden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</row>
    <row r="69" spans="1:44" ht="13.2" hidden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</row>
    <row r="70" spans="1:44" ht="13.2" hidden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</row>
    <row r="71" spans="1:44" ht="13.2" hidden="1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</row>
    <row r="72" spans="1:44" ht="13.2" hidden="1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</row>
    <row r="73" spans="1:44" ht="13.2" hidden="1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</row>
    <row r="74" spans="1:44" ht="13.2" hidden="1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</row>
    <row r="75" spans="1:44" ht="13.2" hidden="1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</row>
    <row r="76" spans="1:44" ht="13.2" hidden="1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</row>
    <row r="77" spans="1:44" ht="13.2" hidden="1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</row>
    <row r="78" spans="1:44" ht="13.2" hidden="1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</row>
    <row r="79" spans="1:44" ht="13.2" hidden="1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</row>
    <row r="80" spans="1:44" ht="13.2" hidden="1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</row>
    <row r="81" spans="1:44" ht="13.2" hidden="1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</row>
    <row r="82" spans="1:44" ht="13.2" hidden="1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</row>
  </sheetData>
  <sheetProtection selectLockedCells="1" selectUnlockedCells="1"/>
  <hyperlinks>
    <hyperlink ref="N34" r:id="rId1" tooltip="Klik hier voor meer tips." xr:uid="{E0800B42-76C1-4B83-A7E7-64AE70741299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A3410-AD35-4A61-8A14-535C4029ED79}">
  <dimension ref="B2:N36"/>
  <sheetViews>
    <sheetView workbookViewId="0"/>
  </sheetViews>
  <sheetFormatPr defaultRowHeight="14.4" x14ac:dyDescent="0.3"/>
  <cols>
    <col min="1" max="1" width="3.21875" customWidth="1"/>
    <col min="2" max="2" width="10.33203125" bestFit="1" customWidth="1"/>
    <col min="3" max="3" width="12" bestFit="1" customWidth="1"/>
    <col min="4" max="4" width="8" bestFit="1" customWidth="1"/>
    <col min="5" max="5" width="5" bestFit="1" customWidth="1"/>
    <col min="6" max="6" width="7.109375" bestFit="1" customWidth="1"/>
    <col min="7" max="8" width="5.33203125" bestFit="1" customWidth="1"/>
    <col min="9" max="13" width="6.33203125" bestFit="1" customWidth="1"/>
    <col min="14" max="14" width="9.21875" bestFit="1" customWidth="1"/>
  </cols>
  <sheetData>
    <row r="2" spans="2:14" x14ac:dyDescent="0.3">
      <c r="B2" t="s">
        <v>37</v>
      </c>
      <c r="C2" s="71" t="s">
        <v>38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4" spans="2:14" x14ac:dyDescent="0.3">
      <c r="B4" t="s">
        <v>0</v>
      </c>
      <c r="C4" t="s">
        <v>1</v>
      </c>
      <c r="D4" t="s">
        <v>14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15</v>
      </c>
    </row>
    <row r="5" spans="2:14" x14ac:dyDescent="0.3">
      <c r="B5" t="s">
        <v>12</v>
      </c>
      <c r="C5" t="s">
        <v>13</v>
      </c>
      <c r="D5">
        <v>36</v>
      </c>
      <c r="E5">
        <v>65</v>
      </c>
      <c r="F5">
        <v>2486</v>
      </c>
      <c r="G5">
        <v>1790</v>
      </c>
      <c r="H5">
        <v>2010</v>
      </c>
      <c r="I5">
        <v>2280</v>
      </c>
      <c r="J5">
        <v>2490</v>
      </c>
      <c r="K5">
        <v>2720</v>
      </c>
      <c r="L5">
        <v>3050</v>
      </c>
      <c r="M5">
        <v>3250</v>
      </c>
      <c r="N5">
        <f>tblData[[#This Row],[n]]*tblData[[#This Row],[Gem]]</f>
        <v>161590</v>
      </c>
    </row>
    <row r="6" spans="2:14" x14ac:dyDescent="0.3">
      <c r="B6" t="s">
        <v>12</v>
      </c>
      <c r="C6" t="s">
        <v>13</v>
      </c>
      <c r="D6">
        <v>37</v>
      </c>
      <c r="E6">
        <v>135</v>
      </c>
      <c r="F6">
        <v>2765</v>
      </c>
      <c r="G6">
        <v>2020</v>
      </c>
      <c r="H6">
        <v>2170</v>
      </c>
      <c r="I6">
        <v>2470</v>
      </c>
      <c r="J6">
        <v>2770</v>
      </c>
      <c r="K6">
        <v>3000</v>
      </c>
      <c r="L6">
        <v>3300</v>
      </c>
      <c r="M6">
        <v>3620</v>
      </c>
      <c r="N6">
        <f>tblData[[#This Row],[n]]*tblData[[#This Row],[Gem]]</f>
        <v>373275</v>
      </c>
    </row>
    <row r="7" spans="2:14" x14ac:dyDescent="0.3">
      <c r="B7" t="s">
        <v>12</v>
      </c>
      <c r="C7" t="s">
        <v>13</v>
      </c>
      <c r="D7">
        <v>38</v>
      </c>
      <c r="E7">
        <v>286</v>
      </c>
      <c r="F7">
        <v>2950</v>
      </c>
      <c r="G7">
        <v>2300</v>
      </c>
      <c r="H7">
        <v>2430</v>
      </c>
      <c r="I7">
        <v>2650</v>
      </c>
      <c r="J7">
        <v>2910</v>
      </c>
      <c r="K7">
        <v>3220</v>
      </c>
      <c r="L7">
        <v>3510</v>
      </c>
      <c r="M7">
        <v>3700</v>
      </c>
      <c r="N7">
        <f>tblData[[#This Row],[n]]*tblData[[#This Row],[Gem]]</f>
        <v>843700</v>
      </c>
    </row>
    <row r="8" spans="2:14" x14ac:dyDescent="0.3">
      <c r="B8" t="s">
        <v>12</v>
      </c>
      <c r="C8" t="s">
        <v>13</v>
      </c>
      <c r="D8">
        <v>39</v>
      </c>
      <c r="E8">
        <v>653</v>
      </c>
      <c r="F8">
        <v>3103</v>
      </c>
      <c r="G8">
        <v>2480</v>
      </c>
      <c r="H8">
        <v>2650</v>
      </c>
      <c r="I8">
        <v>2860</v>
      </c>
      <c r="J8">
        <v>3090</v>
      </c>
      <c r="K8">
        <v>3320</v>
      </c>
      <c r="L8">
        <v>3600</v>
      </c>
      <c r="M8">
        <v>3770</v>
      </c>
      <c r="N8">
        <f>tblData[[#This Row],[n]]*tblData[[#This Row],[Gem]]</f>
        <v>2026259</v>
      </c>
    </row>
    <row r="9" spans="2:14" x14ac:dyDescent="0.3">
      <c r="B9" t="s">
        <v>12</v>
      </c>
      <c r="C9" t="s">
        <v>13</v>
      </c>
      <c r="D9">
        <v>40</v>
      </c>
      <c r="E9">
        <v>1140</v>
      </c>
      <c r="F9">
        <v>3261</v>
      </c>
      <c r="G9">
        <v>2640</v>
      </c>
      <c r="H9">
        <v>2760</v>
      </c>
      <c r="I9">
        <v>3000</v>
      </c>
      <c r="J9">
        <v>3250</v>
      </c>
      <c r="K9">
        <v>3520</v>
      </c>
      <c r="L9">
        <v>3770</v>
      </c>
      <c r="M9">
        <v>3900</v>
      </c>
      <c r="N9">
        <f>tblData[[#This Row],[n]]*tblData[[#This Row],[Gem]]</f>
        <v>3717540</v>
      </c>
    </row>
    <row r="10" spans="2:14" x14ac:dyDescent="0.3">
      <c r="B10" t="s">
        <v>12</v>
      </c>
      <c r="C10" t="s">
        <v>13</v>
      </c>
      <c r="D10">
        <v>41</v>
      </c>
      <c r="E10">
        <v>1123</v>
      </c>
      <c r="F10">
        <v>3348</v>
      </c>
      <c r="G10">
        <v>2700</v>
      </c>
      <c r="H10">
        <v>2830</v>
      </c>
      <c r="I10">
        <v>3090</v>
      </c>
      <c r="J10">
        <v>3350</v>
      </c>
      <c r="K10">
        <v>3610</v>
      </c>
      <c r="L10">
        <v>3850</v>
      </c>
      <c r="M10">
        <v>3980</v>
      </c>
      <c r="N10">
        <f>tblData[[#This Row],[n]]*tblData[[#This Row],[Gem]]</f>
        <v>3759804</v>
      </c>
    </row>
    <row r="11" spans="2:14" x14ac:dyDescent="0.3">
      <c r="B11" t="s">
        <v>12</v>
      </c>
      <c r="C11" t="s">
        <v>13</v>
      </c>
      <c r="D11">
        <v>42</v>
      </c>
      <c r="E11">
        <v>564</v>
      </c>
      <c r="F11">
        <v>3478</v>
      </c>
      <c r="G11">
        <v>2860</v>
      </c>
      <c r="H11">
        <v>2950</v>
      </c>
      <c r="I11">
        <v>3200</v>
      </c>
      <c r="J11">
        <v>3470</v>
      </c>
      <c r="K11">
        <v>3740</v>
      </c>
      <c r="L11">
        <v>4050</v>
      </c>
      <c r="M11">
        <v>4170</v>
      </c>
      <c r="N11">
        <f>tblData[[#This Row],[n]]*tblData[[#This Row],[Gem]]</f>
        <v>1961592</v>
      </c>
    </row>
    <row r="12" spans="2:14" x14ac:dyDescent="0.3">
      <c r="B12" t="s">
        <v>12</v>
      </c>
      <c r="C12" t="s">
        <v>13</v>
      </c>
      <c r="D12">
        <v>43</v>
      </c>
      <c r="E12">
        <v>116</v>
      </c>
      <c r="F12">
        <v>3457</v>
      </c>
      <c r="G12">
        <v>2870</v>
      </c>
      <c r="H12">
        <v>2940</v>
      </c>
      <c r="I12">
        <v>3180</v>
      </c>
      <c r="J12">
        <v>3440</v>
      </c>
      <c r="K12">
        <v>3770</v>
      </c>
      <c r="L12">
        <v>3980</v>
      </c>
      <c r="M12">
        <v>4150</v>
      </c>
      <c r="N12">
        <f>tblData[[#This Row],[n]]*tblData[[#This Row],[Gem]]</f>
        <v>401012</v>
      </c>
    </row>
    <row r="13" spans="2:14" x14ac:dyDescent="0.3">
      <c r="B13" t="s">
        <v>11</v>
      </c>
      <c r="C13" t="s">
        <v>13</v>
      </c>
      <c r="D13">
        <v>36</v>
      </c>
      <c r="E13">
        <v>79</v>
      </c>
      <c r="F13">
        <v>2781</v>
      </c>
      <c r="G13">
        <v>2110</v>
      </c>
      <c r="H13">
        <v>2290</v>
      </c>
      <c r="I13">
        <v>2530</v>
      </c>
      <c r="J13">
        <v>2820</v>
      </c>
      <c r="K13">
        <v>3050</v>
      </c>
      <c r="L13">
        <v>3220</v>
      </c>
      <c r="M13">
        <v>3300</v>
      </c>
      <c r="N13">
        <f>tblData[[#This Row],[n]]*tblData[[#This Row],[Gem]]</f>
        <v>219699</v>
      </c>
    </row>
    <row r="14" spans="2:14" x14ac:dyDescent="0.3">
      <c r="B14" t="s">
        <v>11</v>
      </c>
      <c r="C14" t="s">
        <v>13</v>
      </c>
      <c r="D14">
        <v>37</v>
      </c>
      <c r="E14">
        <v>163</v>
      </c>
      <c r="F14">
        <v>2850</v>
      </c>
      <c r="G14">
        <v>2180</v>
      </c>
      <c r="H14">
        <v>2370</v>
      </c>
      <c r="I14">
        <v>2550</v>
      </c>
      <c r="J14">
        <v>2840</v>
      </c>
      <c r="K14">
        <v>3130</v>
      </c>
      <c r="L14">
        <v>3410</v>
      </c>
      <c r="M14">
        <v>3550</v>
      </c>
      <c r="N14">
        <f>tblData[[#This Row],[n]]*tblData[[#This Row],[Gem]]</f>
        <v>464550</v>
      </c>
    </row>
    <row r="15" spans="2:14" x14ac:dyDescent="0.3">
      <c r="B15" t="s">
        <v>11</v>
      </c>
      <c r="C15" t="s">
        <v>13</v>
      </c>
      <c r="D15">
        <v>38</v>
      </c>
      <c r="E15">
        <v>318</v>
      </c>
      <c r="F15">
        <v>3076</v>
      </c>
      <c r="G15">
        <v>2370</v>
      </c>
      <c r="H15">
        <v>2510</v>
      </c>
      <c r="I15">
        <v>2790</v>
      </c>
      <c r="J15">
        <v>3120</v>
      </c>
      <c r="K15">
        <v>3350</v>
      </c>
      <c r="L15">
        <v>3620</v>
      </c>
      <c r="M15">
        <v>3790</v>
      </c>
      <c r="N15">
        <f>tblData[[#This Row],[n]]*tblData[[#This Row],[Gem]]</f>
        <v>978168</v>
      </c>
    </row>
    <row r="16" spans="2:14" x14ac:dyDescent="0.3">
      <c r="B16" t="s">
        <v>11</v>
      </c>
      <c r="C16" t="s">
        <v>13</v>
      </c>
      <c r="D16">
        <v>39</v>
      </c>
      <c r="E16">
        <v>749</v>
      </c>
      <c r="F16">
        <v>3234</v>
      </c>
      <c r="G16">
        <v>2600</v>
      </c>
      <c r="H16">
        <v>2730</v>
      </c>
      <c r="I16">
        <v>2980</v>
      </c>
      <c r="J16">
        <v>3250</v>
      </c>
      <c r="K16">
        <v>3490</v>
      </c>
      <c r="L16">
        <v>3730</v>
      </c>
      <c r="M16">
        <v>3840</v>
      </c>
      <c r="N16">
        <f>tblData[[#This Row],[n]]*tblData[[#This Row],[Gem]]</f>
        <v>2422266</v>
      </c>
    </row>
    <row r="17" spans="2:14" x14ac:dyDescent="0.3">
      <c r="B17" t="s">
        <v>11</v>
      </c>
      <c r="C17" t="s">
        <v>13</v>
      </c>
      <c r="D17">
        <v>40</v>
      </c>
      <c r="E17">
        <v>1228</v>
      </c>
      <c r="F17">
        <v>3376</v>
      </c>
      <c r="G17">
        <v>2690</v>
      </c>
      <c r="H17">
        <v>2850</v>
      </c>
      <c r="I17">
        <v>3100</v>
      </c>
      <c r="J17">
        <v>3370</v>
      </c>
      <c r="K17">
        <v>3650</v>
      </c>
      <c r="L17">
        <v>3910</v>
      </c>
      <c r="M17">
        <v>4070</v>
      </c>
      <c r="N17">
        <f>tblData[[#This Row],[n]]*tblData[[#This Row],[Gem]]</f>
        <v>4145728</v>
      </c>
    </row>
    <row r="18" spans="2:14" x14ac:dyDescent="0.3">
      <c r="B18" t="s">
        <v>11</v>
      </c>
      <c r="C18" t="s">
        <v>13</v>
      </c>
      <c r="D18">
        <v>41</v>
      </c>
      <c r="E18">
        <v>1135</v>
      </c>
      <c r="F18">
        <v>3495</v>
      </c>
      <c r="G18">
        <v>2810</v>
      </c>
      <c r="H18">
        <v>3000</v>
      </c>
      <c r="I18">
        <v>3220</v>
      </c>
      <c r="J18">
        <v>3490</v>
      </c>
      <c r="K18">
        <v>3760</v>
      </c>
      <c r="L18">
        <v>4010</v>
      </c>
      <c r="M18">
        <v>4190</v>
      </c>
      <c r="N18">
        <f>tblData[[#This Row],[n]]*tblData[[#This Row],[Gem]]</f>
        <v>3966825</v>
      </c>
    </row>
    <row r="19" spans="2:14" x14ac:dyDescent="0.3">
      <c r="B19" t="s">
        <v>11</v>
      </c>
      <c r="C19" t="s">
        <v>13</v>
      </c>
      <c r="D19">
        <v>42</v>
      </c>
      <c r="E19">
        <v>565</v>
      </c>
      <c r="F19">
        <v>3575</v>
      </c>
      <c r="G19">
        <v>2910</v>
      </c>
      <c r="H19">
        <v>3060</v>
      </c>
      <c r="I19">
        <v>3280</v>
      </c>
      <c r="J19">
        <v>3580</v>
      </c>
      <c r="K19">
        <v>3850</v>
      </c>
      <c r="L19">
        <v>4100</v>
      </c>
      <c r="M19">
        <v>4260</v>
      </c>
      <c r="N19">
        <f>tblData[[#This Row],[n]]*tblData[[#This Row],[Gem]]</f>
        <v>2019875</v>
      </c>
    </row>
    <row r="20" spans="2:14" x14ac:dyDescent="0.3">
      <c r="B20" t="s">
        <v>11</v>
      </c>
      <c r="C20" t="s">
        <v>13</v>
      </c>
      <c r="D20">
        <v>43</v>
      </c>
      <c r="E20">
        <v>115</v>
      </c>
      <c r="F20">
        <v>3573</v>
      </c>
      <c r="G20">
        <v>2770</v>
      </c>
      <c r="H20">
        <v>3000</v>
      </c>
      <c r="I20">
        <v>3300</v>
      </c>
      <c r="J20">
        <v>3570</v>
      </c>
      <c r="K20">
        <v>3850</v>
      </c>
      <c r="L20">
        <v>4200</v>
      </c>
      <c r="M20">
        <v>4300</v>
      </c>
      <c r="N20">
        <f>tblData[[#This Row],[n]]*tblData[[#This Row],[Gem]]</f>
        <v>410895</v>
      </c>
    </row>
    <row r="21" spans="2:14" x14ac:dyDescent="0.3">
      <c r="B21" t="s">
        <v>12</v>
      </c>
      <c r="C21" t="s">
        <v>16</v>
      </c>
      <c r="D21">
        <v>36</v>
      </c>
      <c r="E21">
        <v>51</v>
      </c>
      <c r="F21">
        <v>2734</v>
      </c>
      <c r="G21">
        <v>1850</v>
      </c>
      <c r="H21">
        <v>2060</v>
      </c>
      <c r="I21">
        <v>2330</v>
      </c>
      <c r="J21">
        <v>2680</v>
      </c>
      <c r="K21">
        <v>3100</v>
      </c>
      <c r="L21">
        <v>3360</v>
      </c>
      <c r="M21">
        <v>3680</v>
      </c>
      <c r="N21" s="2">
        <f>tblData[[#This Row],[n]]*tblData[[#This Row],[Gem]]</f>
        <v>139434</v>
      </c>
    </row>
    <row r="22" spans="2:14" x14ac:dyDescent="0.3">
      <c r="B22" t="s">
        <v>12</v>
      </c>
      <c r="C22" t="s">
        <v>16</v>
      </c>
      <c r="D22">
        <v>37</v>
      </c>
      <c r="E22">
        <v>107</v>
      </c>
      <c r="F22">
        <v>2857</v>
      </c>
      <c r="G22">
        <v>2250</v>
      </c>
      <c r="H22">
        <v>2310</v>
      </c>
      <c r="I22">
        <v>2540</v>
      </c>
      <c r="J22">
        <v>2790</v>
      </c>
      <c r="K22">
        <v>3110</v>
      </c>
      <c r="L22">
        <v>3450</v>
      </c>
      <c r="M22">
        <v>3750</v>
      </c>
      <c r="N22" s="2">
        <f>tblData[[#This Row],[n]]*tblData[[#This Row],[Gem]]</f>
        <v>305699</v>
      </c>
    </row>
    <row r="23" spans="2:14" x14ac:dyDescent="0.3">
      <c r="B23" t="s">
        <v>12</v>
      </c>
      <c r="C23" t="s">
        <v>16</v>
      </c>
      <c r="D23">
        <v>38</v>
      </c>
      <c r="E23">
        <v>242</v>
      </c>
      <c r="F23">
        <v>3061</v>
      </c>
      <c r="G23">
        <v>2400</v>
      </c>
      <c r="H23">
        <v>2540</v>
      </c>
      <c r="I23">
        <v>2800</v>
      </c>
      <c r="J23">
        <v>3040</v>
      </c>
      <c r="K23">
        <v>3350</v>
      </c>
      <c r="L23">
        <v>3650</v>
      </c>
      <c r="M23">
        <v>3800</v>
      </c>
      <c r="N23" s="2">
        <f>tblData[[#This Row],[n]]*tblData[[#This Row],[Gem]]</f>
        <v>740762</v>
      </c>
    </row>
    <row r="24" spans="2:14" x14ac:dyDescent="0.3">
      <c r="B24" t="s">
        <v>12</v>
      </c>
      <c r="C24" t="s">
        <v>16</v>
      </c>
      <c r="D24">
        <v>39</v>
      </c>
      <c r="E24">
        <v>641</v>
      </c>
      <c r="F24">
        <v>3231</v>
      </c>
      <c r="G24">
        <v>2550</v>
      </c>
      <c r="H24">
        <v>2680</v>
      </c>
      <c r="I24">
        <v>2930</v>
      </c>
      <c r="J24">
        <v>3210</v>
      </c>
      <c r="K24">
        <v>3500</v>
      </c>
      <c r="L24">
        <v>3780</v>
      </c>
      <c r="M24">
        <v>3970</v>
      </c>
      <c r="N24" s="2">
        <f>tblData[[#This Row],[n]]*tblData[[#This Row],[Gem]]</f>
        <v>2071071</v>
      </c>
    </row>
    <row r="25" spans="2:14" x14ac:dyDescent="0.3">
      <c r="B25" t="s">
        <v>12</v>
      </c>
      <c r="C25" t="s">
        <v>16</v>
      </c>
      <c r="D25">
        <v>40</v>
      </c>
      <c r="E25">
        <v>1086</v>
      </c>
      <c r="F25">
        <v>3419</v>
      </c>
      <c r="G25">
        <v>2750</v>
      </c>
      <c r="H25">
        <v>2930</v>
      </c>
      <c r="I25">
        <v>3150</v>
      </c>
      <c r="J25">
        <v>3400</v>
      </c>
      <c r="K25">
        <v>3700</v>
      </c>
      <c r="L25">
        <v>3940</v>
      </c>
      <c r="M25">
        <v>4080</v>
      </c>
      <c r="N25" s="2">
        <f>tblData[[#This Row],[n]]*tblData[[#This Row],[Gem]]</f>
        <v>3713034</v>
      </c>
    </row>
    <row r="26" spans="2:14" x14ac:dyDescent="0.3">
      <c r="B26" t="s">
        <v>12</v>
      </c>
      <c r="C26" t="s">
        <v>16</v>
      </c>
      <c r="D26">
        <v>41</v>
      </c>
      <c r="E26">
        <v>1039</v>
      </c>
      <c r="F26">
        <v>3518</v>
      </c>
      <c r="G26">
        <v>2870</v>
      </c>
      <c r="H26">
        <v>3020</v>
      </c>
      <c r="I26">
        <v>3250</v>
      </c>
      <c r="J26">
        <v>3500</v>
      </c>
      <c r="K26">
        <v>3780</v>
      </c>
      <c r="L26">
        <v>4040</v>
      </c>
      <c r="M26">
        <v>4200</v>
      </c>
      <c r="N26" s="2">
        <f>tblData[[#This Row],[n]]*tblData[[#This Row],[Gem]]</f>
        <v>3655202</v>
      </c>
    </row>
    <row r="27" spans="2:14" x14ac:dyDescent="0.3">
      <c r="B27" t="s">
        <v>12</v>
      </c>
      <c r="C27" t="s">
        <v>16</v>
      </c>
      <c r="D27">
        <v>42</v>
      </c>
      <c r="E27">
        <v>413</v>
      </c>
      <c r="F27">
        <v>3612</v>
      </c>
      <c r="G27">
        <v>2980</v>
      </c>
      <c r="H27">
        <v>3180</v>
      </c>
      <c r="I27">
        <v>3330</v>
      </c>
      <c r="J27">
        <v>3580</v>
      </c>
      <c r="K27">
        <v>3890</v>
      </c>
      <c r="L27">
        <v>4140</v>
      </c>
      <c r="M27">
        <v>4320</v>
      </c>
      <c r="N27" s="2">
        <f>tblData[[#This Row],[n]]*tblData[[#This Row],[Gem]]</f>
        <v>1491756</v>
      </c>
    </row>
    <row r="28" spans="2:14" x14ac:dyDescent="0.3">
      <c r="B28" t="s">
        <v>12</v>
      </c>
      <c r="C28" t="s">
        <v>16</v>
      </c>
      <c r="D28">
        <v>43</v>
      </c>
      <c r="E28">
        <v>103</v>
      </c>
      <c r="F28">
        <v>3468</v>
      </c>
      <c r="G28">
        <v>2690</v>
      </c>
      <c r="H28">
        <v>2840</v>
      </c>
      <c r="I28">
        <v>3100</v>
      </c>
      <c r="J28">
        <v>3500</v>
      </c>
      <c r="K28">
        <v>3810</v>
      </c>
      <c r="L28">
        <v>4120</v>
      </c>
      <c r="M28">
        <v>4310</v>
      </c>
      <c r="N28" s="2">
        <f>tblData[[#This Row],[n]]*tblData[[#This Row],[Gem]]</f>
        <v>357204</v>
      </c>
    </row>
    <row r="29" spans="2:14" x14ac:dyDescent="0.3">
      <c r="B29" t="s">
        <v>11</v>
      </c>
      <c r="C29" t="s">
        <v>16</v>
      </c>
      <c r="D29">
        <v>36</v>
      </c>
      <c r="E29">
        <v>59</v>
      </c>
      <c r="F29">
        <v>2689</v>
      </c>
      <c r="G29">
        <v>1810</v>
      </c>
      <c r="H29">
        <v>2100</v>
      </c>
      <c r="I29">
        <v>2430</v>
      </c>
      <c r="J29">
        <v>2700</v>
      </c>
      <c r="K29">
        <v>2980</v>
      </c>
      <c r="L29">
        <v>3270</v>
      </c>
      <c r="M29">
        <v>3470</v>
      </c>
      <c r="N29" s="2">
        <f>tblData[[#This Row],[n]]*tblData[[#This Row],[Gem]]</f>
        <v>158651</v>
      </c>
    </row>
    <row r="30" spans="2:14" x14ac:dyDescent="0.3">
      <c r="B30" t="s">
        <v>11</v>
      </c>
      <c r="C30" t="s">
        <v>16</v>
      </c>
      <c r="D30">
        <v>37</v>
      </c>
      <c r="E30">
        <v>130</v>
      </c>
      <c r="F30">
        <v>2969</v>
      </c>
      <c r="G30">
        <v>2280</v>
      </c>
      <c r="H30">
        <v>2360</v>
      </c>
      <c r="I30">
        <v>2680</v>
      </c>
      <c r="J30">
        <v>2960</v>
      </c>
      <c r="K30">
        <v>3260</v>
      </c>
      <c r="L30">
        <v>3540</v>
      </c>
      <c r="M30">
        <v>3730</v>
      </c>
      <c r="N30" s="2">
        <f>tblData[[#This Row],[n]]*tblData[[#This Row],[Gem]]</f>
        <v>385970</v>
      </c>
    </row>
    <row r="31" spans="2:14" x14ac:dyDescent="0.3">
      <c r="B31" t="s">
        <v>11</v>
      </c>
      <c r="C31" t="s">
        <v>16</v>
      </c>
      <c r="D31">
        <v>38</v>
      </c>
      <c r="E31">
        <v>301</v>
      </c>
      <c r="F31">
        <v>3191</v>
      </c>
      <c r="G31">
        <v>2450</v>
      </c>
      <c r="H31">
        <v>2620</v>
      </c>
      <c r="I31">
        <v>2890</v>
      </c>
      <c r="J31">
        <v>3220</v>
      </c>
      <c r="K31">
        <v>3480</v>
      </c>
      <c r="L31">
        <v>3730</v>
      </c>
      <c r="M31">
        <v>3880</v>
      </c>
      <c r="N31" s="2">
        <f>tblData[[#This Row],[n]]*tblData[[#This Row],[Gem]]</f>
        <v>960491</v>
      </c>
    </row>
    <row r="32" spans="2:14" x14ac:dyDescent="0.3">
      <c r="B32" t="s">
        <v>11</v>
      </c>
      <c r="C32" t="s">
        <v>16</v>
      </c>
      <c r="D32">
        <v>39</v>
      </c>
      <c r="E32">
        <v>654</v>
      </c>
      <c r="F32">
        <v>3388</v>
      </c>
      <c r="G32">
        <v>2750</v>
      </c>
      <c r="H32">
        <v>2870</v>
      </c>
      <c r="I32">
        <v>3100</v>
      </c>
      <c r="J32">
        <v>3370</v>
      </c>
      <c r="K32">
        <v>3660</v>
      </c>
      <c r="L32">
        <v>3930</v>
      </c>
      <c r="M32">
        <v>4080</v>
      </c>
      <c r="N32" s="2">
        <f>tblData[[#This Row],[n]]*tblData[[#This Row],[Gem]]</f>
        <v>2215752</v>
      </c>
    </row>
    <row r="33" spans="2:14" x14ac:dyDescent="0.3">
      <c r="B33" t="s">
        <v>11</v>
      </c>
      <c r="C33" t="s">
        <v>16</v>
      </c>
      <c r="D33">
        <v>40</v>
      </c>
      <c r="E33">
        <v>1141</v>
      </c>
      <c r="F33">
        <v>3531</v>
      </c>
      <c r="G33">
        <v>2830</v>
      </c>
      <c r="H33">
        <v>3010</v>
      </c>
      <c r="I33">
        <v>3250</v>
      </c>
      <c r="J33">
        <v>3530</v>
      </c>
      <c r="K33">
        <v>3790</v>
      </c>
      <c r="L33">
        <v>4060</v>
      </c>
      <c r="M33">
        <v>4230</v>
      </c>
      <c r="N33" s="2">
        <f>tblData[[#This Row],[n]]*tblData[[#This Row],[Gem]]</f>
        <v>4028871</v>
      </c>
    </row>
    <row r="34" spans="2:14" x14ac:dyDescent="0.3">
      <c r="B34" t="s">
        <v>11</v>
      </c>
      <c r="C34" t="s">
        <v>16</v>
      </c>
      <c r="D34">
        <v>41</v>
      </c>
      <c r="E34">
        <v>979</v>
      </c>
      <c r="F34">
        <v>3663</v>
      </c>
      <c r="G34">
        <v>3000</v>
      </c>
      <c r="H34">
        <v>3140</v>
      </c>
      <c r="I34">
        <v>3390</v>
      </c>
      <c r="J34">
        <v>3660</v>
      </c>
      <c r="K34">
        <v>3810</v>
      </c>
      <c r="L34">
        <v>4200</v>
      </c>
      <c r="M34">
        <v>4360</v>
      </c>
      <c r="N34" s="2">
        <f>tblData[[#This Row],[n]]*tblData[[#This Row],[Gem]]</f>
        <v>3586077</v>
      </c>
    </row>
    <row r="35" spans="2:14" x14ac:dyDescent="0.3">
      <c r="B35" t="s">
        <v>11</v>
      </c>
      <c r="C35" t="s">
        <v>16</v>
      </c>
      <c r="D35">
        <v>42</v>
      </c>
      <c r="E35">
        <v>415</v>
      </c>
      <c r="F35">
        <v>3718</v>
      </c>
      <c r="G35">
        <v>3050</v>
      </c>
      <c r="H35">
        <v>3160</v>
      </c>
      <c r="I35">
        <v>3440</v>
      </c>
      <c r="J35">
        <v>3690</v>
      </c>
      <c r="K35">
        <v>4000</v>
      </c>
      <c r="L35">
        <v>4340</v>
      </c>
      <c r="M35">
        <v>4500</v>
      </c>
      <c r="N35" s="2">
        <f>tblData[[#This Row],[n]]*tblData[[#This Row],[Gem]]</f>
        <v>1542970</v>
      </c>
    </row>
    <row r="36" spans="2:14" x14ac:dyDescent="0.3">
      <c r="B36" t="s">
        <v>11</v>
      </c>
      <c r="C36" t="s">
        <v>16</v>
      </c>
      <c r="D36">
        <v>43</v>
      </c>
      <c r="E36">
        <v>85</v>
      </c>
      <c r="F36">
        <v>3676</v>
      </c>
      <c r="G36">
        <v>3100</v>
      </c>
      <c r="H36">
        <v>3250</v>
      </c>
      <c r="I36">
        <v>3500</v>
      </c>
      <c r="J36">
        <v>3790</v>
      </c>
      <c r="K36">
        <v>4050</v>
      </c>
      <c r="L36">
        <v>4280</v>
      </c>
      <c r="M36">
        <v>4380</v>
      </c>
      <c r="N36" s="2">
        <f>tblData[[#This Row],[n]]*tblData[[#This Row],[Gem]]</f>
        <v>312460</v>
      </c>
    </row>
  </sheetData>
  <mergeCells count="1">
    <mergeCell ref="C2:N2"/>
  </mergeCells>
  <hyperlinks>
    <hyperlink ref="C2" r:id="rId1" xr:uid="{59ACA21D-9CFA-4C09-ACCA-EC60D02A7E6D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0B85-9655-45EB-B5ED-F9DC54EAC7B1}">
  <dimension ref="B1:O23"/>
  <sheetViews>
    <sheetView workbookViewId="0"/>
  </sheetViews>
  <sheetFormatPr defaultRowHeight="14.4" x14ac:dyDescent="0.3"/>
  <cols>
    <col min="1" max="1" width="3.21875" customWidth="1"/>
    <col min="2" max="2" width="10.33203125" style="3" bestFit="1" customWidth="1"/>
    <col min="3" max="3" width="11.77734375" bestFit="1" customWidth="1"/>
    <col min="11" max="11" width="3.21875" customWidth="1"/>
    <col min="12" max="12" width="19.33203125" bestFit="1" customWidth="1"/>
    <col min="14" max="14" width="10" bestFit="1" customWidth="1"/>
  </cols>
  <sheetData>
    <row r="1" spans="2:15" ht="15" thickBot="1" x14ac:dyDescent="0.35"/>
    <row r="2" spans="2:15" x14ac:dyDescent="0.3">
      <c r="B2" s="4" t="s">
        <v>17</v>
      </c>
      <c r="C2" s="16" t="s">
        <v>11</v>
      </c>
      <c r="L2" s="28" t="s">
        <v>3</v>
      </c>
      <c r="M2" s="40">
        <f>AVERAGE(tblData[Gem])</f>
        <v>3235.40625</v>
      </c>
      <c r="N2" s="42" t="s">
        <v>39</v>
      </c>
      <c r="O2" s="1"/>
    </row>
    <row r="3" spans="2:15" x14ac:dyDescent="0.3">
      <c r="B3" s="15" t="s">
        <v>18</v>
      </c>
      <c r="C3" s="17" t="s">
        <v>13</v>
      </c>
      <c r="L3" s="30" t="s">
        <v>27</v>
      </c>
      <c r="M3" s="11">
        <f>SUM(tblData[n*Gem])/SUM(tblData[n])</f>
        <v>3371.4220403022669</v>
      </c>
      <c r="N3" s="12">
        <f>SUMPRODUCT(tblData[n],tblData[Gem])/SUM(tblData[n])</f>
        <v>3371.4220403022669</v>
      </c>
    </row>
    <row r="4" spans="2:15" ht="15" thickBot="1" x14ac:dyDescent="0.35">
      <c r="B4" s="5" t="s">
        <v>26</v>
      </c>
      <c r="C4" s="18">
        <v>39</v>
      </c>
      <c r="L4" s="30" t="str">
        <f>"Gem_"&amp;C2&amp;"_"&amp;C3</f>
        <v>Gem_m_Eerstgeboren</v>
      </c>
      <c r="M4" s="11">
        <f>SUMIFS(tblData[n*Gem],tblData[Geslacht],Geslacht,tblData[Eerst/later],Eerst_later)/SUMIFS(tblData[n],tblData[Geslacht],Geslacht,tblData[Eerst/later],Eerst_later)</f>
        <v>3361.2146139705883</v>
      </c>
      <c r="N4" s="12">
        <f>SUMPRODUCT(tblData[n],tblData[Gem],1*(tblData[Geslacht]=Geslacht),1*(tblData[Eerst/later]=Eerst_later))/SUMPRODUCT(tblData[n],1*(tblData[Geslacht]=Geslacht),1*(tblData[Eerst/later]=Eerst_later))</f>
        <v>3361.2146139705883</v>
      </c>
    </row>
    <row r="5" spans="2:15" x14ac:dyDescent="0.3">
      <c r="L5" s="30" t="str">
        <f>"Gem_"&amp;C2</f>
        <v>Gem_m</v>
      </c>
      <c r="M5" s="11">
        <f>SUMIFS(tblData[n*Gem],tblData[Geslacht],Geslacht)/SUMIFS(tblData[n],tblData[Geslacht],Geslacht)</f>
        <v>3427.7042878265156</v>
      </c>
      <c r="N5" s="12">
        <f>SUMPRODUCT(tblData[n],tblData[Gem],1*(tblData[Geslacht]=Geslacht))/SUMPRODUCT(tblData[n],1*(tblData[Geslacht]=Geslacht))</f>
        <v>3427.7042878265156</v>
      </c>
    </row>
    <row r="6" spans="2:15" ht="15" thickBot="1" x14ac:dyDescent="0.35">
      <c r="L6" s="32" t="str">
        <f>"Gem_"&amp;C3</f>
        <v>Gem_Eerstgeboren</v>
      </c>
      <c r="M6" s="13">
        <f>SUMIFS(tblData[n*Gem],tblData[Eerst/later],Eerst_later)/SUMIFS(tblData[n],tblData[Eerst/later],Eerst_later)</f>
        <v>3304.8112402181646</v>
      </c>
      <c r="N6" s="14">
        <f>SUMPRODUCT(tblData[n],tblData[Gem],1*(tblData[Eerst/later]=Eerst_later))/SUMPRODUCT(tblData[n],1*(tblData[Eerst/later]=Eerst_later))</f>
        <v>3304.8112402181646</v>
      </c>
    </row>
    <row r="7" spans="2:15" ht="15.6" x14ac:dyDescent="0.35">
      <c r="B7" s="8" t="s">
        <v>14</v>
      </c>
      <c r="C7" s="20" t="s">
        <v>3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24</v>
      </c>
      <c r="J7" s="10" t="s">
        <v>25</v>
      </c>
    </row>
    <row r="8" spans="2:15" x14ac:dyDescent="0.3">
      <c r="B8" s="6">
        <v>36</v>
      </c>
      <c r="C8" s="21">
        <f ca="1">SUMIFS(INDIRECT("tblData["&amp;C$7&amp;"]"),tblData[Geslacht],$C$2,tblData[Eerst/later],$C$3,tblData[Week],$B8)</f>
        <v>2781</v>
      </c>
      <c r="D8" s="11">
        <f ca="1">SUMIFS(INDIRECT("tblData["&amp;D$7&amp;"]"),tblData[Geslacht],$C$2,tblData[Eerst/later],$C$3,tblData[Week],$B8)</f>
        <v>2110</v>
      </c>
      <c r="E8" s="11">
        <f ca="1">SUMIFS(INDIRECT("tblData["&amp;E$7&amp;"]"),tblData[Geslacht],$C$2,tblData[Eerst/later],$C$3,tblData[Week],$B8)</f>
        <v>2290</v>
      </c>
      <c r="F8" s="11">
        <f ca="1">SUMIFS(INDIRECT("tblData["&amp;F$7&amp;"]"),tblData[Geslacht],$C$2,tblData[Eerst/later],$C$3,tblData[Week],$B8)</f>
        <v>2530</v>
      </c>
      <c r="G8" s="11">
        <f ca="1">SUMIFS(INDIRECT("tblData["&amp;G$7&amp;"]"),tblData[Geslacht],$C$2,tblData[Eerst/later],$C$3,tblData[Week],$B8)</f>
        <v>2820</v>
      </c>
      <c r="H8" s="11">
        <f ca="1">SUMIFS(INDIRECT("tblData["&amp;H$7&amp;"]"),tblData[Geslacht],$C$2,tblData[Eerst/later],$C$3,tblData[Week],$B8)</f>
        <v>3050</v>
      </c>
      <c r="I8" s="11">
        <f ca="1">SUMIFS(INDIRECT("tblData["&amp;I$7&amp;"]"),tblData[Geslacht],$C$2,tblData[Eerst/later],$C$3,tblData[Week],$B8)</f>
        <v>3220</v>
      </c>
      <c r="J8" s="12">
        <f ca="1">SUMIFS(INDIRECT("tblData["&amp;J$7&amp;"]"),tblData[Geslacht],$C$2,tblData[Eerst/later],$C$3,tblData[Week],$B8)</f>
        <v>3300</v>
      </c>
    </row>
    <row r="9" spans="2:15" x14ac:dyDescent="0.3">
      <c r="B9" s="6">
        <v>37</v>
      </c>
      <c r="C9" s="21">
        <f ca="1">SUMIFS(INDIRECT("tblData["&amp;C$7&amp;"]"),tblData[Geslacht],$C$2,tblData[Eerst/later],$C$3,tblData[Week],$B9)</f>
        <v>2850</v>
      </c>
      <c r="D9" s="11">
        <f ca="1">SUMIFS(INDIRECT("tblData["&amp;D$7&amp;"]"),tblData[Geslacht],$C$2,tblData[Eerst/later],$C$3,tblData[Week],$B9)</f>
        <v>2180</v>
      </c>
      <c r="E9" s="11">
        <f ca="1">SUMIFS(INDIRECT("tblData["&amp;E$7&amp;"]"),tblData[Geslacht],$C$2,tblData[Eerst/later],$C$3,tblData[Week],$B9)</f>
        <v>2370</v>
      </c>
      <c r="F9" s="11">
        <f ca="1">SUMIFS(INDIRECT("tblData["&amp;F$7&amp;"]"),tblData[Geslacht],$C$2,tblData[Eerst/later],$C$3,tblData[Week],$B9)</f>
        <v>2550</v>
      </c>
      <c r="G9" s="11">
        <f ca="1">SUMIFS(INDIRECT("tblData["&amp;G$7&amp;"]"),tblData[Geslacht],$C$2,tblData[Eerst/later],$C$3,tblData[Week],$B9)</f>
        <v>2840</v>
      </c>
      <c r="H9" s="11">
        <f ca="1">SUMIFS(INDIRECT("tblData["&amp;H$7&amp;"]"),tblData[Geslacht],$C$2,tblData[Eerst/later],$C$3,tblData[Week],$B9)</f>
        <v>3130</v>
      </c>
      <c r="I9" s="11">
        <f ca="1">SUMIFS(INDIRECT("tblData["&amp;I$7&amp;"]"),tblData[Geslacht],$C$2,tblData[Eerst/later],$C$3,tblData[Week],$B9)</f>
        <v>3410</v>
      </c>
      <c r="J9" s="12">
        <f ca="1">SUMIFS(INDIRECT("tblData["&amp;J$7&amp;"]"),tblData[Geslacht],$C$2,tblData[Eerst/later],$C$3,tblData[Week],$B9)</f>
        <v>3550</v>
      </c>
    </row>
    <row r="10" spans="2:15" x14ac:dyDescent="0.3">
      <c r="B10" s="6">
        <v>38</v>
      </c>
      <c r="C10" s="21">
        <f ca="1">SUMIFS(INDIRECT("tblData["&amp;C$7&amp;"]"),tblData[Geslacht],$C$2,tblData[Eerst/later],$C$3,tblData[Week],$B10)</f>
        <v>3076</v>
      </c>
      <c r="D10" s="11">
        <f ca="1">SUMIFS(INDIRECT("tblData["&amp;D$7&amp;"]"),tblData[Geslacht],$C$2,tblData[Eerst/later],$C$3,tblData[Week],$B10)</f>
        <v>2370</v>
      </c>
      <c r="E10" s="11">
        <f ca="1">SUMIFS(INDIRECT("tblData["&amp;E$7&amp;"]"),tblData[Geslacht],$C$2,tblData[Eerst/later],$C$3,tblData[Week],$B10)</f>
        <v>2510</v>
      </c>
      <c r="F10" s="11">
        <f ca="1">SUMIFS(INDIRECT("tblData["&amp;F$7&amp;"]"),tblData[Geslacht],$C$2,tblData[Eerst/later],$C$3,tblData[Week],$B10)</f>
        <v>2790</v>
      </c>
      <c r="G10" s="11">
        <f ca="1">SUMIFS(INDIRECT("tblData["&amp;G$7&amp;"]"),tblData[Geslacht],$C$2,tblData[Eerst/later],$C$3,tblData[Week],$B10)</f>
        <v>3120</v>
      </c>
      <c r="H10" s="11">
        <f ca="1">SUMIFS(INDIRECT("tblData["&amp;H$7&amp;"]"),tblData[Geslacht],$C$2,tblData[Eerst/later],$C$3,tblData[Week],$B10)</f>
        <v>3350</v>
      </c>
      <c r="I10" s="11">
        <f ca="1">SUMIFS(INDIRECT("tblData["&amp;I$7&amp;"]"),tblData[Geslacht],$C$2,tblData[Eerst/later],$C$3,tblData[Week],$B10)</f>
        <v>3620</v>
      </c>
      <c r="J10" s="12">
        <f ca="1">SUMIFS(INDIRECT("tblData["&amp;J$7&amp;"]"),tblData[Geslacht],$C$2,tblData[Eerst/later],$C$3,tblData[Week],$B10)</f>
        <v>3790</v>
      </c>
    </row>
    <row r="11" spans="2:15" x14ac:dyDescent="0.3">
      <c r="B11" s="6">
        <v>39</v>
      </c>
      <c r="C11" s="21">
        <f ca="1">SUMIFS(INDIRECT("tblData["&amp;C$7&amp;"]"),tblData[Geslacht],$C$2,tblData[Eerst/later],$C$3,tblData[Week],$B11)</f>
        <v>3234</v>
      </c>
      <c r="D11" s="11">
        <f ca="1">SUMIFS(INDIRECT("tblData["&amp;D$7&amp;"]"),tblData[Geslacht],$C$2,tblData[Eerst/later],$C$3,tblData[Week],$B11)</f>
        <v>2600</v>
      </c>
      <c r="E11" s="11">
        <f ca="1">SUMIFS(INDIRECT("tblData["&amp;E$7&amp;"]"),tblData[Geslacht],$C$2,tblData[Eerst/later],$C$3,tblData[Week],$B11)</f>
        <v>2730</v>
      </c>
      <c r="F11" s="11">
        <f ca="1">SUMIFS(INDIRECT("tblData["&amp;F$7&amp;"]"),tblData[Geslacht],$C$2,tblData[Eerst/later],$C$3,tblData[Week],$B11)</f>
        <v>2980</v>
      </c>
      <c r="G11" s="11">
        <f ca="1">SUMIFS(INDIRECT("tblData["&amp;G$7&amp;"]"),tblData[Geslacht],$C$2,tblData[Eerst/later],$C$3,tblData[Week],$B11)</f>
        <v>3250</v>
      </c>
      <c r="H11" s="11">
        <f ca="1">SUMIFS(INDIRECT("tblData["&amp;H$7&amp;"]"),tblData[Geslacht],$C$2,tblData[Eerst/later],$C$3,tblData[Week],$B11)</f>
        <v>3490</v>
      </c>
      <c r="I11" s="11">
        <f ca="1">SUMIFS(INDIRECT("tblData["&amp;I$7&amp;"]"),tblData[Geslacht],$C$2,tblData[Eerst/later],$C$3,tblData[Week],$B11)</f>
        <v>3730</v>
      </c>
      <c r="J11" s="12">
        <f ca="1">SUMIFS(INDIRECT("tblData["&amp;J$7&amp;"]"),tblData[Geslacht],$C$2,tblData[Eerst/later],$C$3,tblData[Week],$B11)</f>
        <v>3840</v>
      </c>
      <c r="N11" s="26"/>
    </row>
    <row r="12" spans="2:15" x14ac:dyDescent="0.3">
      <c r="B12" s="6">
        <v>40</v>
      </c>
      <c r="C12" s="21">
        <f ca="1">SUMIFS(INDIRECT("tblData["&amp;C$7&amp;"]"),tblData[Geslacht],$C$2,tblData[Eerst/later],$C$3,tblData[Week],$B12)</f>
        <v>3376</v>
      </c>
      <c r="D12" s="11">
        <f ca="1">SUMIFS(INDIRECT("tblData["&amp;D$7&amp;"]"),tblData[Geslacht],$C$2,tblData[Eerst/later],$C$3,tblData[Week],$B12)</f>
        <v>2690</v>
      </c>
      <c r="E12" s="11">
        <f ca="1">SUMIFS(INDIRECT("tblData["&amp;E$7&amp;"]"),tblData[Geslacht],$C$2,tblData[Eerst/later],$C$3,tblData[Week],$B12)</f>
        <v>2850</v>
      </c>
      <c r="F12" s="11">
        <f ca="1">SUMIFS(INDIRECT("tblData["&amp;F$7&amp;"]"),tblData[Geslacht],$C$2,tblData[Eerst/later],$C$3,tblData[Week],$B12)</f>
        <v>3100</v>
      </c>
      <c r="G12" s="11">
        <f ca="1">SUMIFS(INDIRECT("tblData["&amp;G$7&amp;"]"),tblData[Geslacht],$C$2,tblData[Eerst/later],$C$3,tblData[Week],$B12)</f>
        <v>3370</v>
      </c>
      <c r="H12" s="11">
        <f ca="1">SUMIFS(INDIRECT("tblData["&amp;H$7&amp;"]"),tblData[Geslacht],$C$2,tblData[Eerst/later],$C$3,tblData[Week],$B12)</f>
        <v>3650</v>
      </c>
      <c r="I12" s="11">
        <f ca="1">SUMIFS(INDIRECT("tblData["&amp;I$7&amp;"]"),tblData[Geslacht],$C$2,tblData[Eerst/later],$C$3,tblData[Week],$B12)</f>
        <v>3910</v>
      </c>
      <c r="J12" s="12">
        <f ca="1">SUMIFS(INDIRECT("tblData["&amp;J$7&amp;"]"),tblData[Geslacht],$C$2,tblData[Eerst/later],$C$3,tblData[Week],$B12)</f>
        <v>4070</v>
      </c>
    </row>
    <row r="13" spans="2:15" x14ac:dyDescent="0.3">
      <c r="B13" s="6">
        <v>41</v>
      </c>
      <c r="C13" s="21">
        <f ca="1">SUMIFS(INDIRECT("tblData["&amp;C$7&amp;"]"),tblData[Geslacht],$C$2,tblData[Eerst/later],$C$3,tblData[Week],$B13)</f>
        <v>3495</v>
      </c>
      <c r="D13" s="11">
        <f ca="1">SUMIFS(INDIRECT("tblData["&amp;D$7&amp;"]"),tblData[Geslacht],$C$2,tblData[Eerst/later],$C$3,tblData[Week],$B13)</f>
        <v>2810</v>
      </c>
      <c r="E13" s="11">
        <f ca="1">SUMIFS(INDIRECT("tblData["&amp;E$7&amp;"]"),tblData[Geslacht],$C$2,tblData[Eerst/later],$C$3,tblData[Week],$B13)</f>
        <v>3000</v>
      </c>
      <c r="F13" s="11">
        <f ca="1">SUMIFS(INDIRECT("tblData["&amp;F$7&amp;"]"),tblData[Geslacht],$C$2,tblData[Eerst/later],$C$3,tblData[Week],$B13)</f>
        <v>3220</v>
      </c>
      <c r="G13" s="11">
        <f ca="1">SUMIFS(INDIRECT("tblData["&amp;G$7&amp;"]"),tblData[Geslacht],$C$2,tblData[Eerst/later],$C$3,tblData[Week],$B13)</f>
        <v>3490</v>
      </c>
      <c r="H13" s="11">
        <f ca="1">SUMIFS(INDIRECT("tblData["&amp;H$7&amp;"]"),tblData[Geslacht],$C$2,tblData[Eerst/later],$C$3,tblData[Week],$B13)</f>
        <v>3760</v>
      </c>
      <c r="I13" s="11">
        <f ca="1">SUMIFS(INDIRECT("tblData["&amp;I$7&amp;"]"),tblData[Geslacht],$C$2,tblData[Eerst/later],$C$3,tblData[Week],$B13)</f>
        <v>4010</v>
      </c>
      <c r="J13" s="12">
        <f ca="1">SUMIFS(INDIRECT("tblData["&amp;J$7&amp;"]"),tblData[Geslacht],$C$2,tblData[Eerst/later],$C$3,tblData[Week],$B13)</f>
        <v>4190</v>
      </c>
    </row>
    <row r="14" spans="2:15" x14ac:dyDescent="0.3">
      <c r="B14" s="6">
        <v>42</v>
      </c>
      <c r="C14" s="21">
        <f ca="1">SUMIFS(INDIRECT("tblData["&amp;C$7&amp;"]"),tblData[Geslacht],$C$2,tblData[Eerst/later],$C$3,tblData[Week],$B14)</f>
        <v>3575</v>
      </c>
      <c r="D14" s="11">
        <f ca="1">SUMIFS(INDIRECT("tblData["&amp;D$7&amp;"]"),tblData[Geslacht],$C$2,tblData[Eerst/later],$C$3,tblData[Week],$B14)</f>
        <v>2910</v>
      </c>
      <c r="E14" s="11">
        <f ca="1">SUMIFS(INDIRECT("tblData["&amp;E$7&amp;"]"),tblData[Geslacht],$C$2,tblData[Eerst/later],$C$3,tblData[Week],$B14)</f>
        <v>3060</v>
      </c>
      <c r="F14" s="11">
        <f ca="1">SUMIFS(INDIRECT("tblData["&amp;F$7&amp;"]"),tblData[Geslacht],$C$2,tblData[Eerst/later],$C$3,tblData[Week],$B14)</f>
        <v>3280</v>
      </c>
      <c r="G14" s="11">
        <f ca="1">SUMIFS(INDIRECT("tblData["&amp;G$7&amp;"]"),tblData[Geslacht],$C$2,tblData[Eerst/later],$C$3,tblData[Week],$B14)</f>
        <v>3580</v>
      </c>
      <c r="H14" s="11">
        <f ca="1">SUMIFS(INDIRECT("tblData["&amp;H$7&amp;"]"),tblData[Geslacht],$C$2,tblData[Eerst/later],$C$3,tblData[Week],$B14)</f>
        <v>3850</v>
      </c>
      <c r="I14" s="11">
        <f ca="1">SUMIFS(INDIRECT("tblData["&amp;I$7&amp;"]"),tblData[Geslacht],$C$2,tblData[Eerst/later],$C$3,tblData[Week],$B14)</f>
        <v>4100</v>
      </c>
      <c r="J14" s="12">
        <f ca="1">SUMIFS(INDIRECT("tblData["&amp;J$7&amp;"]"),tblData[Geslacht],$C$2,tblData[Eerst/later],$C$3,tblData[Week],$B14)</f>
        <v>4260</v>
      </c>
    </row>
    <row r="15" spans="2:15" ht="15" thickBot="1" x14ac:dyDescent="0.35">
      <c r="B15" s="7">
        <v>43</v>
      </c>
      <c r="C15" s="22">
        <f ca="1">SUMIFS(INDIRECT("tblData["&amp;C$7&amp;"]"),tblData[Geslacht],$C$2,tblData[Eerst/later],$C$3,tblData[Week],$B15)</f>
        <v>3573</v>
      </c>
      <c r="D15" s="13">
        <f ca="1">SUMIFS(INDIRECT("tblData["&amp;D$7&amp;"]"),tblData[Geslacht],$C$2,tblData[Eerst/later],$C$3,tblData[Week],$B15)</f>
        <v>2770</v>
      </c>
      <c r="E15" s="13">
        <f ca="1">SUMIFS(INDIRECT("tblData["&amp;E$7&amp;"]"),tblData[Geslacht],$C$2,tblData[Eerst/later],$C$3,tblData[Week],$B15)</f>
        <v>3000</v>
      </c>
      <c r="F15" s="13">
        <f ca="1">SUMIFS(INDIRECT("tblData["&amp;F$7&amp;"]"),tblData[Geslacht],$C$2,tblData[Eerst/later],$C$3,tblData[Week],$B15)</f>
        <v>3300</v>
      </c>
      <c r="G15" s="13">
        <f ca="1">SUMIFS(INDIRECT("tblData["&amp;G$7&amp;"]"),tblData[Geslacht],$C$2,tblData[Eerst/later],$C$3,tblData[Week],$B15)</f>
        <v>3570</v>
      </c>
      <c r="H15" s="13">
        <f ca="1">SUMIFS(INDIRECT("tblData["&amp;H$7&amp;"]"),tblData[Geslacht],$C$2,tblData[Eerst/later],$C$3,tblData[Week],$B15)</f>
        <v>3850</v>
      </c>
      <c r="I15" s="13">
        <f ca="1">SUMIFS(INDIRECT("tblData["&amp;I$7&amp;"]"),tblData[Geslacht],$C$2,tblData[Eerst/later],$C$3,tblData[Week],$B15)</f>
        <v>4200</v>
      </c>
      <c r="J15" s="14">
        <f ca="1">SUMIFS(INDIRECT("tblData["&amp;J$7&amp;"]"),tblData[Geslacht],$C$2,tblData[Eerst/later],$C$3,tblData[Week],$B15)</f>
        <v>4300</v>
      </c>
    </row>
    <row r="17" spans="12:12" x14ac:dyDescent="0.3">
      <c r="L17" s="19" t="str">
        <f>"Geboortegewicht in gram 
("&amp;Geslacht&amp;", "&amp;Eerst_later&amp;")"</f>
        <v>Geboortegewicht in gram 
(m, Eerstgeboren)</v>
      </c>
    </row>
    <row r="23" spans="12:12" x14ac:dyDescent="0.3">
      <c r="L23" s="43"/>
    </row>
  </sheetData>
  <conditionalFormatting sqref="B8:J15">
    <cfRule type="expression" dxfId="4" priority="1">
      <formula>$B8=GebWeek</formula>
    </cfRule>
  </conditionalFormatting>
  <conditionalFormatting sqref="L17">
    <cfRule type="expression" dxfId="3" priority="2">
      <formula>$B8=GebWeek</formula>
    </cfRule>
  </conditionalFormatting>
  <dataValidations disablePrompts="1" count="3">
    <dataValidation type="list" allowBlank="1" showInputMessage="1" showErrorMessage="1" sqref="C2" xr:uid="{C688DD8C-6CB7-497D-8E27-3CBFBCE830CF}">
      <formula1>"m,v"</formula1>
    </dataValidation>
    <dataValidation type="list" allowBlank="1" showInputMessage="1" showErrorMessage="1" sqref="C3" xr:uid="{429DE914-895B-47C6-98D4-593E787D60CE}">
      <formula1>"Eerstgeboren,Latergeboren"</formula1>
    </dataValidation>
    <dataValidation type="list" allowBlank="1" showInputMessage="1" showErrorMessage="1" sqref="C4" xr:uid="{65CC8452-EA62-4F5F-8126-DEC5D9540B54}">
      <formula1>"36,37,38,39,40,41,42,43"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C0D6-24F0-4BC2-86CC-300916242E8E}">
  <dimension ref="B1:Q17"/>
  <sheetViews>
    <sheetView workbookViewId="0"/>
  </sheetViews>
  <sheetFormatPr defaultRowHeight="14.4" x14ac:dyDescent="0.3"/>
  <cols>
    <col min="1" max="1" width="3.21875" customWidth="1"/>
    <col min="2" max="2" width="10.33203125" style="3" bestFit="1" customWidth="1"/>
    <col min="3" max="3" width="11.77734375" bestFit="1" customWidth="1"/>
    <col min="11" max="11" width="10.5546875" bestFit="1" customWidth="1"/>
    <col min="12" max="12" width="5.44140625" bestFit="1" customWidth="1"/>
    <col min="13" max="13" width="3.21875" customWidth="1"/>
    <col min="14" max="14" width="19.33203125" bestFit="1" customWidth="1"/>
    <col min="16" max="16" width="10" bestFit="1" customWidth="1"/>
  </cols>
  <sheetData>
    <row r="1" spans="2:17" ht="15" thickBot="1" x14ac:dyDescent="0.35"/>
    <row r="2" spans="2:17" x14ac:dyDescent="0.3">
      <c r="B2" s="4" t="s">
        <v>17</v>
      </c>
      <c r="C2" s="16" t="s">
        <v>11</v>
      </c>
      <c r="Q2" s="1"/>
    </row>
    <row r="3" spans="2:17" x14ac:dyDescent="0.3">
      <c r="B3" s="15" t="s">
        <v>18</v>
      </c>
      <c r="C3" s="17" t="s">
        <v>13</v>
      </c>
    </row>
    <row r="4" spans="2:17" ht="15" thickBot="1" x14ac:dyDescent="0.35">
      <c r="B4" s="5" t="s">
        <v>26</v>
      </c>
      <c r="C4" s="18">
        <v>39</v>
      </c>
      <c r="N4" t="s">
        <v>29</v>
      </c>
      <c r="O4">
        <f>MATCH(GebWeek,B8:B15,0)</f>
        <v>4</v>
      </c>
    </row>
    <row r="5" spans="2:17" x14ac:dyDescent="0.3">
      <c r="N5" t="s">
        <v>3</v>
      </c>
      <c r="O5">
        <f ca="1">INDEX(C8:C15,$O$4)</f>
        <v>3234</v>
      </c>
    </row>
    <row r="6" spans="2:17" ht="15" thickBot="1" x14ac:dyDescent="0.35">
      <c r="N6" t="s">
        <v>4</v>
      </c>
      <c r="O6">
        <f ca="1">INDEX(D8:D15,$O$4)</f>
        <v>2600</v>
      </c>
    </row>
    <row r="7" spans="2:17" ht="15.6" x14ac:dyDescent="0.35">
      <c r="B7" s="8" t="s">
        <v>14</v>
      </c>
      <c r="C7" s="20" t="s">
        <v>3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20" t="s">
        <v>28</v>
      </c>
      <c r="L7" s="23" t="s">
        <v>30</v>
      </c>
      <c r="N7" t="s">
        <v>5</v>
      </c>
      <c r="O7">
        <f ca="1">INDEX(E8:E15,$O$4)</f>
        <v>2730</v>
      </c>
    </row>
    <row r="8" spans="2:17" x14ac:dyDescent="0.3">
      <c r="B8" s="6">
        <v>36</v>
      </c>
      <c r="C8" s="21">
        <f ca="1">SUMIFS(INDIRECT("tblData["&amp;C$7&amp;"]"),tblData[Geslacht],$C$2,tblData[Eerst/later],$C$3,tblData[Week],$B8)</f>
        <v>2781</v>
      </c>
      <c r="D8" s="11">
        <f ca="1">SUMIFS(INDIRECT("tblData["&amp;D$7&amp;"]"),tblData[Geslacht],$C$2,tblData[Eerst/later],$C$3,tblData[Week],$B8)</f>
        <v>2110</v>
      </c>
      <c r="E8" s="11">
        <f ca="1">SUMIFS(INDIRECT("tblData["&amp;E$7&amp;"]"),tblData[Geslacht],$C$2,tblData[Eerst/later],$C$3,tblData[Week],$B8)</f>
        <v>2290</v>
      </c>
      <c r="F8" s="11">
        <f ca="1">SUMIFS(INDIRECT("tblData["&amp;F$7&amp;"]"),tblData[Geslacht],$C$2,tblData[Eerst/later],$C$3,tblData[Week],$B8)</f>
        <v>2530</v>
      </c>
      <c r="G8" s="11">
        <f ca="1">SUMIFS(INDIRECT("tblData["&amp;G$7&amp;"]"),tblData[Geslacht],$C$2,tblData[Eerst/later],$C$3,tblData[Week],$B8)</f>
        <v>2820</v>
      </c>
      <c r="H8" s="11">
        <f ca="1">SUMIFS(INDIRECT("tblData["&amp;H$7&amp;"]"),tblData[Geslacht],$C$2,tblData[Eerst/later],$C$3,tblData[Week],$B8)</f>
        <v>3050</v>
      </c>
      <c r="I8" s="11">
        <f ca="1">SUMIFS(INDIRECT("tblData["&amp;I$7&amp;"]"),tblData[Geslacht],$C$2,tblData[Eerst/later],$C$3,tblData[Week],$B8)</f>
        <v>3220</v>
      </c>
      <c r="J8" s="11">
        <f ca="1">SUMIFS(INDIRECT("tblData["&amp;J$7&amp;"]"),tblData[Geslacht],$C$2,tblData[Eerst/later],$C$3,tblData[Week],$B8)</f>
        <v>3300</v>
      </c>
      <c r="K8" s="21" t="e">
        <f t="shared" ref="K8:K15" si="0">IF(B8=GebWeek,TRUE,NA())</f>
        <v>#N/A</v>
      </c>
      <c r="L8" s="24" t="str">
        <f>IFERROR(IF(K8,$N$14),"")</f>
        <v/>
      </c>
      <c r="N8" t="s">
        <v>6</v>
      </c>
      <c r="O8">
        <f ca="1">INDEX(F8:F15,$O$4)</f>
        <v>2980</v>
      </c>
    </row>
    <row r="9" spans="2:17" x14ac:dyDescent="0.3">
      <c r="B9" s="6">
        <v>37</v>
      </c>
      <c r="C9" s="21">
        <f ca="1">SUMIFS(INDIRECT("tblData["&amp;C$7&amp;"]"),tblData[Geslacht],$C$2,tblData[Eerst/later],$C$3,tblData[Week],$B9)</f>
        <v>2850</v>
      </c>
      <c r="D9" s="11">
        <f ca="1">SUMIFS(INDIRECT("tblData["&amp;D$7&amp;"]"),tblData[Geslacht],$C$2,tblData[Eerst/later],$C$3,tblData[Week],$B9)</f>
        <v>2180</v>
      </c>
      <c r="E9" s="11">
        <f ca="1">SUMIFS(INDIRECT("tblData["&amp;E$7&amp;"]"),tblData[Geslacht],$C$2,tblData[Eerst/later],$C$3,tblData[Week],$B9)</f>
        <v>2370</v>
      </c>
      <c r="F9" s="11">
        <f ca="1">SUMIFS(INDIRECT("tblData["&amp;F$7&amp;"]"),tblData[Geslacht],$C$2,tblData[Eerst/later],$C$3,tblData[Week],$B9)</f>
        <v>2550</v>
      </c>
      <c r="G9" s="11">
        <f ca="1">SUMIFS(INDIRECT("tblData["&amp;G$7&amp;"]"),tblData[Geslacht],$C$2,tblData[Eerst/later],$C$3,tblData[Week],$B9)</f>
        <v>2840</v>
      </c>
      <c r="H9" s="11">
        <f ca="1">SUMIFS(INDIRECT("tblData["&amp;H$7&amp;"]"),tblData[Geslacht],$C$2,tblData[Eerst/later],$C$3,tblData[Week],$B9)</f>
        <v>3130</v>
      </c>
      <c r="I9" s="11">
        <f ca="1">SUMIFS(INDIRECT("tblData["&amp;I$7&amp;"]"),tblData[Geslacht],$C$2,tblData[Eerst/later],$C$3,tblData[Week],$B9)</f>
        <v>3410</v>
      </c>
      <c r="J9" s="11">
        <f ca="1">SUMIFS(INDIRECT("tblData["&amp;J$7&amp;"]"),tblData[Geslacht],$C$2,tblData[Eerst/later],$C$3,tblData[Week],$B9)</f>
        <v>3550</v>
      </c>
      <c r="K9" s="21" t="e">
        <f t="shared" si="0"/>
        <v>#N/A</v>
      </c>
      <c r="L9" s="24" t="str">
        <f t="shared" ref="L9:L15" si="1">IFERROR(IF(K9,$N$14),"")</f>
        <v/>
      </c>
      <c r="N9" t="s">
        <v>7</v>
      </c>
      <c r="O9">
        <f ca="1">INDEX(G8:G15,$O$4)</f>
        <v>3250</v>
      </c>
    </row>
    <row r="10" spans="2:17" x14ac:dyDescent="0.3">
      <c r="B10" s="6">
        <v>38</v>
      </c>
      <c r="C10" s="21">
        <f ca="1">SUMIFS(INDIRECT("tblData["&amp;C$7&amp;"]"),tblData[Geslacht],$C$2,tblData[Eerst/later],$C$3,tblData[Week],$B10)</f>
        <v>3076</v>
      </c>
      <c r="D10" s="11">
        <f ca="1">SUMIFS(INDIRECT("tblData["&amp;D$7&amp;"]"),tblData[Geslacht],$C$2,tblData[Eerst/later],$C$3,tblData[Week],$B10)</f>
        <v>2370</v>
      </c>
      <c r="E10" s="11">
        <f ca="1">SUMIFS(INDIRECT("tblData["&amp;E$7&amp;"]"),tblData[Geslacht],$C$2,tblData[Eerst/later],$C$3,tblData[Week],$B10)</f>
        <v>2510</v>
      </c>
      <c r="F10" s="11">
        <f ca="1">SUMIFS(INDIRECT("tblData["&amp;F$7&amp;"]"),tblData[Geslacht],$C$2,tblData[Eerst/later],$C$3,tblData[Week],$B10)</f>
        <v>2790</v>
      </c>
      <c r="G10" s="11">
        <f ca="1">SUMIFS(INDIRECT("tblData["&amp;G$7&amp;"]"),tblData[Geslacht],$C$2,tblData[Eerst/later],$C$3,tblData[Week],$B10)</f>
        <v>3120</v>
      </c>
      <c r="H10" s="11">
        <f ca="1">SUMIFS(INDIRECT("tblData["&amp;H$7&amp;"]"),tblData[Geslacht],$C$2,tblData[Eerst/later],$C$3,tblData[Week],$B10)</f>
        <v>3350</v>
      </c>
      <c r="I10" s="11">
        <f ca="1">SUMIFS(INDIRECT("tblData["&amp;I$7&amp;"]"),tblData[Geslacht],$C$2,tblData[Eerst/later],$C$3,tblData[Week],$B10)</f>
        <v>3620</v>
      </c>
      <c r="J10" s="11">
        <f ca="1">SUMIFS(INDIRECT("tblData["&amp;J$7&amp;"]"),tblData[Geslacht],$C$2,tblData[Eerst/later],$C$3,tblData[Week],$B10)</f>
        <v>3790</v>
      </c>
      <c r="K10" s="21" t="e">
        <f t="shared" si="0"/>
        <v>#N/A</v>
      </c>
      <c r="L10" s="24" t="str">
        <f t="shared" si="1"/>
        <v/>
      </c>
      <c r="N10" t="s">
        <v>8</v>
      </c>
      <c r="O10">
        <f ca="1">INDEX(H8:H15,$O$4)</f>
        <v>3490</v>
      </c>
    </row>
    <row r="11" spans="2:17" x14ac:dyDescent="0.3">
      <c r="B11" s="6">
        <v>39</v>
      </c>
      <c r="C11" s="21">
        <f ca="1">SUMIFS(INDIRECT("tblData["&amp;C$7&amp;"]"),tblData[Geslacht],$C$2,tblData[Eerst/later],$C$3,tblData[Week],$B11)</f>
        <v>3234</v>
      </c>
      <c r="D11" s="11">
        <f ca="1">SUMIFS(INDIRECT("tblData["&amp;D$7&amp;"]"),tblData[Geslacht],$C$2,tblData[Eerst/later],$C$3,tblData[Week],$B11)</f>
        <v>2600</v>
      </c>
      <c r="E11" s="11">
        <f ca="1">SUMIFS(INDIRECT("tblData["&amp;E$7&amp;"]"),tblData[Geslacht],$C$2,tblData[Eerst/later],$C$3,tblData[Week],$B11)</f>
        <v>2730</v>
      </c>
      <c r="F11" s="11">
        <f ca="1">SUMIFS(INDIRECT("tblData["&amp;F$7&amp;"]"),tblData[Geslacht],$C$2,tblData[Eerst/later],$C$3,tblData[Week],$B11)</f>
        <v>2980</v>
      </c>
      <c r="G11" s="11">
        <f ca="1">SUMIFS(INDIRECT("tblData["&amp;G$7&amp;"]"),tblData[Geslacht],$C$2,tblData[Eerst/later],$C$3,tblData[Week],$B11)</f>
        <v>3250</v>
      </c>
      <c r="H11" s="11">
        <f ca="1">SUMIFS(INDIRECT("tblData["&amp;H$7&amp;"]"),tblData[Geslacht],$C$2,tblData[Eerst/later],$C$3,tblData[Week],$B11)</f>
        <v>3490</v>
      </c>
      <c r="I11" s="11">
        <f ca="1">SUMIFS(INDIRECT("tblData["&amp;I$7&amp;"]"),tblData[Geslacht],$C$2,tblData[Eerst/later],$C$3,tblData[Week],$B11)</f>
        <v>3730</v>
      </c>
      <c r="J11" s="11">
        <f ca="1">SUMIFS(INDIRECT("tblData["&amp;J$7&amp;"]"),tblData[Geslacht],$C$2,tblData[Eerst/later],$C$3,tblData[Week],$B11)</f>
        <v>3840</v>
      </c>
      <c r="K11" s="21" t="b">
        <f t="shared" si="0"/>
        <v>1</v>
      </c>
      <c r="L11" s="24" t="str">
        <f t="shared" ca="1" si="1"/>
        <v>Gem = 3234,
 P25 = 2980, P75 = 3490</v>
      </c>
      <c r="N11" t="s">
        <v>9</v>
      </c>
      <c r="O11">
        <f ca="1">INDEX(I8:I15,$O$4)</f>
        <v>3730</v>
      </c>
    </row>
    <row r="12" spans="2:17" x14ac:dyDescent="0.3">
      <c r="B12" s="6">
        <v>40</v>
      </c>
      <c r="C12" s="21">
        <f ca="1">SUMIFS(INDIRECT("tblData["&amp;C$7&amp;"]"),tblData[Geslacht],$C$2,tblData[Eerst/later],$C$3,tblData[Week],$B12)</f>
        <v>3376</v>
      </c>
      <c r="D12" s="11">
        <f ca="1">SUMIFS(INDIRECT("tblData["&amp;D$7&amp;"]"),tblData[Geslacht],$C$2,tblData[Eerst/later],$C$3,tblData[Week],$B12)</f>
        <v>2690</v>
      </c>
      <c r="E12" s="11">
        <f ca="1">SUMIFS(INDIRECT("tblData["&amp;E$7&amp;"]"),tblData[Geslacht],$C$2,tblData[Eerst/later],$C$3,tblData[Week],$B12)</f>
        <v>2850</v>
      </c>
      <c r="F12" s="11">
        <f ca="1">SUMIFS(INDIRECT("tblData["&amp;F$7&amp;"]"),tblData[Geslacht],$C$2,tblData[Eerst/later],$C$3,tblData[Week],$B12)</f>
        <v>3100</v>
      </c>
      <c r="G12" s="11">
        <f ca="1">SUMIFS(INDIRECT("tblData["&amp;G$7&amp;"]"),tblData[Geslacht],$C$2,tblData[Eerst/later],$C$3,tblData[Week],$B12)</f>
        <v>3370</v>
      </c>
      <c r="H12" s="11">
        <f ca="1">SUMIFS(INDIRECT("tblData["&amp;H$7&amp;"]"),tblData[Geslacht],$C$2,tblData[Eerst/later],$C$3,tblData[Week],$B12)</f>
        <v>3650</v>
      </c>
      <c r="I12" s="11">
        <f ca="1">SUMIFS(INDIRECT("tblData["&amp;I$7&amp;"]"),tblData[Geslacht],$C$2,tblData[Eerst/later],$C$3,tblData[Week],$B12)</f>
        <v>3910</v>
      </c>
      <c r="J12" s="11">
        <f ca="1">SUMIFS(INDIRECT("tblData["&amp;J$7&amp;"]"),tblData[Geslacht],$C$2,tblData[Eerst/later],$C$3,tblData[Week],$B12)</f>
        <v>4070</v>
      </c>
      <c r="K12" s="21" t="e">
        <f t="shared" si="0"/>
        <v>#N/A</v>
      </c>
      <c r="L12" s="24" t="str">
        <f t="shared" si="1"/>
        <v/>
      </c>
      <c r="N12" t="s">
        <v>10</v>
      </c>
      <c r="O12">
        <f ca="1">INDEX(J8:J15,$O$4)</f>
        <v>3840</v>
      </c>
    </row>
    <row r="13" spans="2:17" x14ac:dyDescent="0.3">
      <c r="B13" s="6">
        <v>41</v>
      </c>
      <c r="C13" s="21">
        <f ca="1">SUMIFS(INDIRECT("tblData["&amp;C$7&amp;"]"),tblData[Geslacht],$C$2,tblData[Eerst/later],$C$3,tblData[Week],$B13)</f>
        <v>3495</v>
      </c>
      <c r="D13" s="11">
        <f ca="1">SUMIFS(INDIRECT("tblData["&amp;D$7&amp;"]"),tblData[Geslacht],$C$2,tblData[Eerst/later],$C$3,tblData[Week],$B13)</f>
        <v>2810</v>
      </c>
      <c r="E13" s="11">
        <f ca="1">SUMIFS(INDIRECT("tblData["&amp;E$7&amp;"]"),tblData[Geslacht],$C$2,tblData[Eerst/later],$C$3,tblData[Week],$B13)</f>
        <v>3000</v>
      </c>
      <c r="F13" s="11">
        <f ca="1">SUMIFS(INDIRECT("tblData["&amp;F$7&amp;"]"),tblData[Geslacht],$C$2,tblData[Eerst/later],$C$3,tblData[Week],$B13)</f>
        <v>3220</v>
      </c>
      <c r="G13" s="11">
        <f ca="1">SUMIFS(INDIRECT("tblData["&amp;G$7&amp;"]"),tblData[Geslacht],$C$2,tblData[Eerst/later],$C$3,tblData[Week],$B13)</f>
        <v>3490</v>
      </c>
      <c r="H13" s="11">
        <f ca="1">SUMIFS(INDIRECT("tblData["&amp;H$7&amp;"]"),tblData[Geslacht],$C$2,tblData[Eerst/later],$C$3,tblData[Week],$B13)</f>
        <v>3760</v>
      </c>
      <c r="I13" s="11">
        <f ca="1">SUMIFS(INDIRECT("tblData["&amp;I$7&amp;"]"),tblData[Geslacht],$C$2,tblData[Eerst/later],$C$3,tblData[Week],$B13)</f>
        <v>4010</v>
      </c>
      <c r="J13" s="11">
        <f ca="1">SUMIFS(INDIRECT("tblData["&amp;J$7&amp;"]"),tblData[Geslacht],$C$2,tblData[Eerst/later],$C$3,tblData[Week],$B13)</f>
        <v>4190</v>
      </c>
      <c r="K13" s="21" t="e">
        <f t="shared" si="0"/>
        <v>#N/A</v>
      </c>
      <c r="L13" s="24" t="str">
        <f t="shared" si="1"/>
        <v/>
      </c>
    </row>
    <row r="14" spans="2:17" x14ac:dyDescent="0.3">
      <c r="B14" s="6">
        <v>42</v>
      </c>
      <c r="C14" s="21">
        <f ca="1">SUMIFS(INDIRECT("tblData["&amp;C$7&amp;"]"),tblData[Geslacht],$C$2,tblData[Eerst/later],$C$3,tblData[Week],$B14)</f>
        <v>3575</v>
      </c>
      <c r="D14" s="11">
        <f ca="1">SUMIFS(INDIRECT("tblData["&amp;D$7&amp;"]"),tblData[Geslacht],$C$2,tblData[Eerst/later],$C$3,tblData[Week],$B14)</f>
        <v>2910</v>
      </c>
      <c r="E14" s="11">
        <f ca="1">SUMIFS(INDIRECT("tblData["&amp;E$7&amp;"]"),tblData[Geslacht],$C$2,tblData[Eerst/later],$C$3,tblData[Week],$B14)</f>
        <v>3060</v>
      </c>
      <c r="F14" s="11">
        <f ca="1">SUMIFS(INDIRECT("tblData["&amp;F$7&amp;"]"),tblData[Geslacht],$C$2,tblData[Eerst/later],$C$3,tblData[Week],$B14)</f>
        <v>3280</v>
      </c>
      <c r="G14" s="11">
        <f ca="1">SUMIFS(INDIRECT("tblData["&amp;G$7&amp;"]"),tblData[Geslacht],$C$2,tblData[Eerst/later],$C$3,tblData[Week],$B14)</f>
        <v>3580</v>
      </c>
      <c r="H14" s="11">
        <f ca="1">SUMIFS(INDIRECT("tblData["&amp;H$7&amp;"]"),tblData[Geslacht],$C$2,tblData[Eerst/later],$C$3,tblData[Week],$B14)</f>
        <v>3850</v>
      </c>
      <c r="I14" s="11">
        <f ca="1">SUMIFS(INDIRECT("tblData["&amp;I$7&amp;"]"),tblData[Geslacht],$C$2,tblData[Eerst/later],$C$3,tblData[Week],$B14)</f>
        <v>4100</v>
      </c>
      <c r="J14" s="11">
        <f ca="1">SUMIFS(INDIRECT("tblData["&amp;J$7&amp;"]"),tblData[Geslacht],$C$2,tblData[Eerst/later],$C$3,tblData[Week],$B14)</f>
        <v>4260</v>
      </c>
      <c r="K14" s="21" t="e">
        <f t="shared" si="0"/>
        <v>#N/A</v>
      </c>
      <c r="L14" s="24" t="str">
        <f t="shared" si="1"/>
        <v/>
      </c>
      <c r="N14" t="str">
        <f ca="1">"Gem = "&amp;O5&amp;",
 P25 = "&amp;O8&amp;", P75 = "&amp;O10</f>
        <v>Gem = 3234,
 P25 = 2980, P75 = 3490</v>
      </c>
    </row>
    <row r="15" spans="2:17" ht="15" thickBot="1" x14ac:dyDescent="0.35">
      <c r="B15" s="7">
        <v>43</v>
      </c>
      <c r="C15" s="22">
        <f ca="1">SUMIFS(INDIRECT("tblData["&amp;C$7&amp;"]"),tblData[Geslacht],$C$2,tblData[Eerst/later],$C$3,tblData[Week],$B15)</f>
        <v>3573</v>
      </c>
      <c r="D15" s="13">
        <f ca="1">SUMIFS(INDIRECT("tblData["&amp;D$7&amp;"]"),tblData[Geslacht],$C$2,tblData[Eerst/later],$C$3,tblData[Week],$B15)</f>
        <v>2770</v>
      </c>
      <c r="E15" s="13">
        <f ca="1">SUMIFS(INDIRECT("tblData["&amp;E$7&amp;"]"),tblData[Geslacht],$C$2,tblData[Eerst/later],$C$3,tblData[Week],$B15)</f>
        <v>3000</v>
      </c>
      <c r="F15" s="13">
        <f ca="1">SUMIFS(INDIRECT("tblData["&amp;F$7&amp;"]"),tblData[Geslacht],$C$2,tblData[Eerst/later],$C$3,tblData[Week],$B15)</f>
        <v>3300</v>
      </c>
      <c r="G15" s="13">
        <f ca="1">SUMIFS(INDIRECT("tblData["&amp;G$7&amp;"]"),tblData[Geslacht],$C$2,tblData[Eerst/later],$C$3,tblData[Week],$B15)</f>
        <v>3570</v>
      </c>
      <c r="H15" s="13">
        <f ca="1">SUMIFS(INDIRECT("tblData["&amp;H$7&amp;"]"),tblData[Geslacht],$C$2,tblData[Eerst/later],$C$3,tblData[Week],$B15)</f>
        <v>3850</v>
      </c>
      <c r="I15" s="13">
        <f ca="1">SUMIFS(INDIRECT("tblData["&amp;I$7&amp;"]"),tblData[Geslacht],$C$2,tblData[Eerst/later],$C$3,tblData[Week],$B15)</f>
        <v>4200</v>
      </c>
      <c r="J15" s="13">
        <f ca="1">SUMIFS(INDIRECT("tblData["&amp;J$7&amp;"]"),tblData[Geslacht],$C$2,tblData[Eerst/later],$C$3,tblData[Week],$B15)</f>
        <v>4300</v>
      </c>
      <c r="K15" s="22" t="e">
        <f t="shared" si="0"/>
        <v>#N/A</v>
      </c>
      <c r="L15" s="25" t="str">
        <f t="shared" si="1"/>
        <v/>
      </c>
    </row>
    <row r="17" spans="14:14" x14ac:dyDescent="0.3">
      <c r="N17" s="19" t="str">
        <f>"Geboortegewicht in gram ("&amp;Geslacht&amp;", "&amp;Eerst_later&amp;")"</f>
        <v>Geboortegewicht in gram (m, Eerstgeboren)</v>
      </c>
    </row>
  </sheetData>
  <conditionalFormatting sqref="B8:L15">
    <cfRule type="expression" dxfId="2" priority="1">
      <formula>$B8=GebWeek</formula>
    </cfRule>
  </conditionalFormatting>
  <conditionalFormatting sqref="N17">
    <cfRule type="expression" dxfId="1" priority="3">
      <formula>$B8=GebWeek</formula>
    </cfRule>
  </conditionalFormatting>
  <dataValidations count="3">
    <dataValidation type="list" allowBlank="1" showInputMessage="1" showErrorMessage="1" sqref="C4" xr:uid="{32954F14-E315-4F3C-A392-C2876A446E70}">
      <formula1>"36,37,38,39,40,41,42,43"</formula1>
    </dataValidation>
    <dataValidation type="list" allowBlank="1" showInputMessage="1" showErrorMessage="1" sqref="C3" xr:uid="{09A8AB96-8080-4865-867E-C854B938B043}">
      <formula1>"Eerstgeboren,Latergeboren"</formula1>
    </dataValidation>
    <dataValidation type="list" allowBlank="1" showInputMessage="1" showErrorMessage="1" sqref="C2" xr:uid="{61AFAAF2-C77C-4F25-B5DA-1FC97D8A0B59}">
      <formula1>"m,v"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388F-41AD-4F41-B760-0A1BCBB73E02}">
  <dimension ref="A1:Q41"/>
  <sheetViews>
    <sheetView showGridLines="0" workbookViewId="0"/>
  </sheetViews>
  <sheetFormatPr defaultRowHeight="14.4" x14ac:dyDescent="0.3"/>
  <cols>
    <col min="1" max="1" width="3.21875" customWidth="1"/>
    <col min="2" max="2" width="10.33203125" style="3" bestFit="1" customWidth="1"/>
    <col min="3" max="3" width="11.77734375" bestFit="1" customWidth="1"/>
    <col min="11" max="11" width="10.5546875" bestFit="1" customWidth="1"/>
    <col min="12" max="12" width="5.44140625" bestFit="1" customWidth="1"/>
    <col min="13" max="13" width="3.21875" customWidth="1"/>
    <col min="14" max="14" width="9.33203125" customWidth="1"/>
    <col min="15" max="15" width="11.77734375" bestFit="1" customWidth="1"/>
    <col min="16" max="16" width="10" bestFit="1" customWidth="1"/>
  </cols>
  <sheetData>
    <row r="1" spans="1:17" ht="15" thickBot="1" x14ac:dyDescent="0.35">
      <c r="A1" s="26"/>
      <c r="C1" s="26"/>
      <c r="M1" s="26"/>
      <c r="N1" s="26"/>
      <c r="O1" s="26"/>
      <c r="P1" s="26"/>
    </row>
    <row r="2" spans="1:17" x14ac:dyDescent="0.3">
      <c r="A2" s="26"/>
      <c r="B2" s="27"/>
      <c r="C2" s="26"/>
      <c r="M2" s="26"/>
      <c r="N2" s="28">
        <v>1</v>
      </c>
      <c r="O2" s="29" t="str">
        <f>IF(N2=1,"m","v")</f>
        <v>m</v>
      </c>
      <c r="P2" s="11"/>
      <c r="Q2" s="1"/>
    </row>
    <row r="3" spans="1:17" x14ac:dyDescent="0.3">
      <c r="A3" s="26"/>
      <c r="B3" s="27"/>
      <c r="C3" s="26"/>
      <c r="M3" s="26"/>
      <c r="N3" s="30">
        <v>1</v>
      </c>
      <c r="O3" s="31" t="str">
        <f>IF(N3=1,"Eerstgeboren","Latergeboren")</f>
        <v>Eerstgeboren</v>
      </c>
      <c r="P3" s="11"/>
    </row>
    <row r="4" spans="1:17" ht="15" thickBot="1" x14ac:dyDescent="0.35">
      <c r="A4" s="26"/>
      <c r="B4" s="27"/>
      <c r="C4" s="26"/>
      <c r="M4" s="26"/>
      <c r="N4" s="32">
        <v>39</v>
      </c>
      <c r="O4" s="33"/>
      <c r="P4" s="11"/>
    </row>
    <row r="5" spans="1:17" x14ac:dyDescent="0.3">
      <c r="A5" s="26"/>
      <c r="C5" s="26"/>
      <c r="M5" s="26"/>
      <c r="N5" s="26"/>
      <c r="O5" s="11"/>
      <c r="P5" s="11"/>
    </row>
    <row r="6" spans="1:17" x14ac:dyDescent="0.3">
      <c r="A6" s="26"/>
      <c r="C6" s="26"/>
      <c r="M6" s="26"/>
      <c r="N6" s="26"/>
      <c r="O6" s="11"/>
      <c r="P6" s="11"/>
    </row>
    <row r="7" spans="1:17" x14ac:dyDescent="0.3">
      <c r="A7" s="26"/>
      <c r="C7" s="26"/>
      <c r="O7" s="1"/>
      <c r="P7" s="1"/>
    </row>
    <row r="8" spans="1:17" x14ac:dyDescent="0.3">
      <c r="A8" s="26"/>
      <c r="C8" s="26"/>
      <c r="O8" s="1"/>
      <c r="P8" s="1"/>
    </row>
    <row r="9" spans="1:17" x14ac:dyDescent="0.3">
      <c r="A9" s="26"/>
      <c r="C9" s="26"/>
      <c r="O9" s="1"/>
      <c r="P9" s="1"/>
    </row>
    <row r="10" spans="1:17" x14ac:dyDescent="0.3">
      <c r="A10" s="26"/>
      <c r="C10" s="26"/>
      <c r="O10" s="1"/>
      <c r="P10" s="1"/>
    </row>
    <row r="11" spans="1:17" x14ac:dyDescent="0.3">
      <c r="A11" s="26"/>
      <c r="C11" s="26"/>
      <c r="O11" s="1"/>
      <c r="P11" s="1"/>
    </row>
    <row r="12" spans="1:17" x14ac:dyDescent="0.3">
      <c r="A12" s="26"/>
      <c r="C12" s="26"/>
      <c r="O12" s="1"/>
      <c r="P12" s="1"/>
    </row>
    <row r="13" spans="1:17" x14ac:dyDescent="0.3">
      <c r="A13" s="26"/>
      <c r="C13" s="26"/>
      <c r="O13" s="1"/>
      <c r="P13" s="1"/>
    </row>
    <row r="14" spans="1:17" x14ac:dyDescent="0.3">
      <c r="A14" s="26"/>
      <c r="C14" s="26"/>
      <c r="O14" s="1"/>
      <c r="P14" s="1"/>
    </row>
    <row r="15" spans="1:17" x14ac:dyDescent="0.3">
      <c r="A15" s="26"/>
      <c r="C15" s="26"/>
      <c r="O15" s="1"/>
      <c r="P15" s="1"/>
    </row>
    <row r="16" spans="1:17" x14ac:dyDescent="0.3">
      <c r="A16" s="26"/>
      <c r="C16" s="26"/>
      <c r="O16" s="1"/>
      <c r="P16" s="1"/>
    </row>
    <row r="17" spans="1:16" x14ac:dyDescent="0.3">
      <c r="A17" s="26"/>
      <c r="C17" s="26"/>
      <c r="O17" s="1"/>
      <c r="P17" s="1"/>
    </row>
    <row r="18" spans="1:16" x14ac:dyDescent="0.3">
      <c r="A18" s="26"/>
      <c r="C18" s="26"/>
      <c r="O18" s="1"/>
      <c r="P18" s="1"/>
    </row>
    <row r="19" spans="1:16" x14ac:dyDescent="0.3">
      <c r="A19" s="26"/>
      <c r="C19" s="26"/>
      <c r="O19" s="1"/>
      <c r="P19" s="1"/>
    </row>
    <row r="20" spans="1:16" x14ac:dyDescent="0.3">
      <c r="A20" s="26"/>
      <c r="C20" s="26"/>
      <c r="O20" s="1"/>
      <c r="P20" s="1"/>
    </row>
    <row r="21" spans="1:16" x14ac:dyDescent="0.3">
      <c r="A21" s="26"/>
      <c r="C21" s="26"/>
      <c r="O21" s="1"/>
      <c r="P21" s="1"/>
    </row>
    <row r="22" spans="1:16" x14ac:dyDescent="0.3">
      <c r="A22" s="26"/>
      <c r="C22" s="26"/>
      <c r="O22" s="1"/>
      <c r="P22" s="1"/>
    </row>
    <row r="23" spans="1:16" x14ac:dyDescent="0.3">
      <c r="A23" s="26"/>
      <c r="C23" s="26"/>
      <c r="O23" s="1"/>
      <c r="P23" s="1"/>
    </row>
    <row r="24" spans="1:16" x14ac:dyDescent="0.3">
      <c r="A24" s="26"/>
      <c r="C24" s="26"/>
      <c r="O24" s="1"/>
      <c r="P24" s="1"/>
    </row>
    <row r="25" spans="1:16" x14ac:dyDescent="0.3">
      <c r="O25" s="1"/>
    </row>
    <row r="26" spans="1:16" x14ac:dyDescent="0.3">
      <c r="O26" s="1"/>
    </row>
    <row r="27" spans="1:16" x14ac:dyDescent="0.3">
      <c r="O27" s="1"/>
    </row>
    <row r="28" spans="1:16" ht="15" thickBot="1" x14ac:dyDescent="0.35">
      <c r="O28" s="1"/>
    </row>
    <row r="29" spans="1:16" ht="15.6" x14ac:dyDescent="0.35">
      <c r="B29" s="8" t="s">
        <v>14</v>
      </c>
      <c r="C29" s="20" t="s">
        <v>3</v>
      </c>
      <c r="D29" s="9" t="s">
        <v>19</v>
      </c>
      <c r="E29" s="9" t="s">
        <v>20</v>
      </c>
      <c r="F29" s="9" t="s">
        <v>21</v>
      </c>
      <c r="G29" s="9" t="s">
        <v>22</v>
      </c>
      <c r="H29" s="9" t="s">
        <v>23</v>
      </c>
      <c r="I29" s="9" t="s">
        <v>24</v>
      </c>
      <c r="J29" s="9" t="s">
        <v>25</v>
      </c>
      <c r="K29" s="20" t="s">
        <v>28</v>
      </c>
      <c r="L29" s="23" t="s">
        <v>30</v>
      </c>
    </row>
    <row r="30" spans="1:16" x14ac:dyDescent="0.3">
      <c r="B30" s="6">
        <v>36</v>
      </c>
      <c r="C30" s="21">
        <f ca="1">SUMIFS(INDIRECT("tblData["&amp;C$29&amp;"]"),tblData[Geslacht],Geslacht,tblData[Eerst/later],Eerst_later,tblData[Week],$B30)</f>
        <v>2781</v>
      </c>
      <c r="D30" s="11">
        <f ca="1">SUMIFS(INDIRECT("tblData["&amp;D$29&amp;"]"),tblData[Geslacht],Geslacht,tblData[Eerst/later],Eerst_later,tblData[Week],$B30)</f>
        <v>2110</v>
      </c>
      <c r="E30" s="11">
        <f ca="1">SUMIFS(INDIRECT("tblData["&amp;E$29&amp;"]"),tblData[Geslacht],Geslacht,tblData[Eerst/later],Eerst_later,tblData[Week],$B30)</f>
        <v>2290</v>
      </c>
      <c r="F30" s="11">
        <f ca="1">SUMIFS(INDIRECT("tblData["&amp;F$29&amp;"]"),tblData[Geslacht],Geslacht,tblData[Eerst/later],Eerst_later,tblData[Week],$B30)</f>
        <v>2530</v>
      </c>
      <c r="G30" s="11">
        <f ca="1">SUMIFS(INDIRECT("tblData["&amp;G$29&amp;"]"),tblData[Geslacht],Geslacht,tblData[Eerst/later],Eerst_later,tblData[Week],$B30)</f>
        <v>2820</v>
      </c>
      <c r="H30" s="11">
        <f ca="1">SUMIFS(INDIRECT("tblData["&amp;H$29&amp;"]"),tblData[Geslacht],Geslacht,tblData[Eerst/later],Eerst_later,tblData[Week],$B30)</f>
        <v>3050</v>
      </c>
      <c r="I30" s="11">
        <f ca="1">SUMIFS(INDIRECT("tblData["&amp;I$29&amp;"]"),tblData[Geslacht],Geslacht,tblData[Eerst/later],Eerst_later,tblData[Week],$B30)</f>
        <v>3220</v>
      </c>
      <c r="J30" s="11">
        <f ca="1">SUMIFS(INDIRECT("tblData["&amp;J$29&amp;"]"),tblData[Geslacht],Geslacht,tblData[Eerst/later],Eerst_later,tblData[Week],$B30)</f>
        <v>3300</v>
      </c>
      <c r="K30" s="21" t="e">
        <f t="shared" ref="K30:K37" si="0">IF(B30=GebWeek,TRUE,NA())</f>
        <v>#N/A</v>
      </c>
      <c r="L30" s="24" t="str">
        <f>IFERROR(IF(K30,$N$41),"")</f>
        <v/>
      </c>
      <c r="N30" s="19" t="str">
        <f>"Geboortegewicht in gram ("&amp;Geslacht&amp;", "&amp;Eerst_later&amp;")"</f>
        <v>Geboortegewicht in gram (m, Eerstgeboren)</v>
      </c>
    </row>
    <row r="31" spans="1:16" x14ac:dyDescent="0.3">
      <c r="B31" s="6">
        <v>37</v>
      </c>
      <c r="C31" s="21">
        <f ca="1">SUMIFS(INDIRECT("tblData["&amp;C$29&amp;"]"),tblData[Geslacht],Geslacht,tblData[Eerst/later],Eerst_later,tblData[Week],$B31)</f>
        <v>2850</v>
      </c>
      <c r="D31" s="11">
        <f ca="1">SUMIFS(INDIRECT("tblData["&amp;D$29&amp;"]"),tblData[Geslacht],Geslacht,tblData[Eerst/later],Eerst_later,tblData[Week],$B31)</f>
        <v>2180</v>
      </c>
      <c r="E31" s="11">
        <f ca="1">SUMIFS(INDIRECT("tblData["&amp;E$29&amp;"]"),tblData[Geslacht],Geslacht,tblData[Eerst/later],Eerst_later,tblData[Week],$B31)</f>
        <v>2370</v>
      </c>
      <c r="F31" s="11">
        <f ca="1">SUMIFS(INDIRECT("tblData["&amp;F$29&amp;"]"),tblData[Geslacht],Geslacht,tblData[Eerst/later],Eerst_later,tblData[Week],$B31)</f>
        <v>2550</v>
      </c>
      <c r="G31" s="11">
        <f ca="1">SUMIFS(INDIRECT("tblData["&amp;G$29&amp;"]"),tblData[Geslacht],Geslacht,tblData[Eerst/later],Eerst_later,tblData[Week],$B31)</f>
        <v>2840</v>
      </c>
      <c r="H31" s="11">
        <f ca="1">SUMIFS(INDIRECT("tblData["&amp;H$29&amp;"]"),tblData[Geslacht],Geslacht,tblData[Eerst/later],Eerst_later,tblData[Week],$B31)</f>
        <v>3130</v>
      </c>
      <c r="I31" s="11">
        <f ca="1">SUMIFS(INDIRECT("tblData["&amp;I$29&amp;"]"),tblData[Geslacht],Geslacht,tblData[Eerst/later],Eerst_later,tblData[Week],$B31)</f>
        <v>3410</v>
      </c>
      <c r="J31" s="11">
        <f ca="1">SUMIFS(INDIRECT("tblData["&amp;J$29&amp;"]"),tblData[Geslacht],Geslacht,tblData[Eerst/later],Eerst_later,tblData[Week],$B31)</f>
        <v>3550</v>
      </c>
      <c r="K31" s="21" t="e">
        <f t="shared" si="0"/>
        <v>#N/A</v>
      </c>
      <c r="L31" s="24" t="str">
        <f t="shared" ref="L31:L37" si="1">IFERROR(IF(K31,$N$41),"")</f>
        <v/>
      </c>
      <c r="N31" t="s">
        <v>29</v>
      </c>
      <c r="O31">
        <f>MATCH(GebWeek,B30:B37,0)</f>
        <v>4</v>
      </c>
    </row>
    <row r="32" spans="1:16" x14ac:dyDescent="0.3">
      <c r="B32" s="6">
        <v>38</v>
      </c>
      <c r="C32" s="21">
        <f ca="1">SUMIFS(INDIRECT("tblData["&amp;C$29&amp;"]"),tblData[Geslacht],Geslacht,tblData[Eerst/later],Eerst_later,tblData[Week],$B32)</f>
        <v>3076</v>
      </c>
      <c r="D32" s="11">
        <f ca="1">SUMIFS(INDIRECT("tblData["&amp;D$29&amp;"]"),tblData[Geslacht],Geslacht,tblData[Eerst/later],Eerst_later,tblData[Week],$B32)</f>
        <v>2370</v>
      </c>
      <c r="E32" s="11">
        <f ca="1">SUMIFS(INDIRECT("tblData["&amp;E$29&amp;"]"),tblData[Geslacht],Geslacht,tblData[Eerst/later],Eerst_later,tblData[Week],$B32)</f>
        <v>2510</v>
      </c>
      <c r="F32" s="11">
        <f ca="1">SUMIFS(INDIRECT("tblData["&amp;F$29&amp;"]"),tblData[Geslacht],Geslacht,tblData[Eerst/later],Eerst_later,tblData[Week],$B32)</f>
        <v>2790</v>
      </c>
      <c r="G32" s="11">
        <f ca="1">SUMIFS(INDIRECT("tblData["&amp;G$29&amp;"]"),tblData[Geslacht],Geslacht,tblData[Eerst/later],Eerst_later,tblData[Week],$B32)</f>
        <v>3120</v>
      </c>
      <c r="H32" s="11">
        <f ca="1">SUMIFS(INDIRECT("tblData["&amp;H$29&amp;"]"),tblData[Geslacht],Geslacht,tblData[Eerst/later],Eerst_later,tblData[Week],$B32)</f>
        <v>3350</v>
      </c>
      <c r="I32" s="11">
        <f ca="1">SUMIFS(INDIRECT("tblData["&amp;I$29&amp;"]"),tblData[Geslacht],Geslacht,tblData[Eerst/later],Eerst_later,tblData[Week],$B32)</f>
        <v>3620</v>
      </c>
      <c r="J32" s="11">
        <f ca="1">SUMIFS(INDIRECT("tblData["&amp;J$29&amp;"]"),tblData[Geslacht],Geslacht,tblData[Eerst/later],Eerst_later,tblData[Week],$B32)</f>
        <v>3790</v>
      </c>
      <c r="K32" s="21" t="e">
        <f t="shared" si="0"/>
        <v>#N/A</v>
      </c>
      <c r="L32" s="24" t="str">
        <f t="shared" si="1"/>
        <v/>
      </c>
      <c r="N32" t="s">
        <v>3</v>
      </c>
      <c r="O32">
        <f ca="1">INDEX(C30:C37,$O$31)</f>
        <v>3234</v>
      </c>
    </row>
    <row r="33" spans="2:15" x14ac:dyDescent="0.3">
      <c r="B33" s="6">
        <v>39</v>
      </c>
      <c r="C33" s="21">
        <f ca="1">SUMIFS(INDIRECT("tblData["&amp;C$29&amp;"]"),tblData[Geslacht],Geslacht,tblData[Eerst/later],Eerst_later,tblData[Week],$B33)</f>
        <v>3234</v>
      </c>
      <c r="D33" s="11">
        <f ca="1">SUMIFS(INDIRECT("tblData["&amp;D$29&amp;"]"),tblData[Geslacht],Geslacht,tblData[Eerst/later],Eerst_later,tblData[Week],$B33)</f>
        <v>2600</v>
      </c>
      <c r="E33" s="11">
        <f ca="1">SUMIFS(INDIRECT("tblData["&amp;E$29&amp;"]"),tblData[Geslacht],Geslacht,tblData[Eerst/later],Eerst_later,tblData[Week],$B33)</f>
        <v>2730</v>
      </c>
      <c r="F33" s="11">
        <f ca="1">SUMIFS(INDIRECT("tblData["&amp;F$29&amp;"]"),tblData[Geslacht],Geslacht,tblData[Eerst/later],Eerst_later,tblData[Week],$B33)</f>
        <v>2980</v>
      </c>
      <c r="G33" s="11">
        <f ca="1">SUMIFS(INDIRECT("tblData["&amp;G$29&amp;"]"),tblData[Geslacht],Geslacht,tblData[Eerst/later],Eerst_later,tblData[Week],$B33)</f>
        <v>3250</v>
      </c>
      <c r="H33" s="11">
        <f ca="1">SUMIFS(INDIRECT("tblData["&amp;H$29&amp;"]"),tblData[Geslacht],Geslacht,tblData[Eerst/later],Eerst_later,tblData[Week],$B33)</f>
        <v>3490</v>
      </c>
      <c r="I33" s="11">
        <f ca="1">SUMIFS(INDIRECT("tblData["&amp;I$29&amp;"]"),tblData[Geslacht],Geslacht,tblData[Eerst/later],Eerst_later,tblData[Week],$B33)</f>
        <v>3730</v>
      </c>
      <c r="J33" s="11">
        <f ca="1">SUMIFS(INDIRECT("tblData["&amp;J$29&amp;"]"),tblData[Geslacht],Geslacht,tblData[Eerst/later],Eerst_later,tblData[Week],$B33)</f>
        <v>3840</v>
      </c>
      <c r="K33" s="21" t="b">
        <f t="shared" si="0"/>
        <v>1</v>
      </c>
      <c r="L33" s="24" t="str">
        <f t="shared" ca="1" si="1"/>
        <v>Gem = 3234,
 P25 = 2980, P75 = 3490</v>
      </c>
      <c r="N33" t="s">
        <v>4</v>
      </c>
      <c r="O33">
        <f ca="1">INDEX(D30:D37,$O$31)</f>
        <v>2600</v>
      </c>
    </row>
    <row r="34" spans="2:15" x14ac:dyDescent="0.3">
      <c r="B34" s="6">
        <v>40</v>
      </c>
      <c r="C34" s="21">
        <f ca="1">SUMIFS(INDIRECT("tblData["&amp;C$29&amp;"]"),tblData[Geslacht],Geslacht,tblData[Eerst/later],Eerst_later,tblData[Week],$B34)</f>
        <v>3376</v>
      </c>
      <c r="D34" s="11">
        <f ca="1">SUMIFS(INDIRECT("tblData["&amp;D$29&amp;"]"),tblData[Geslacht],Geslacht,tblData[Eerst/later],Eerst_later,tblData[Week],$B34)</f>
        <v>2690</v>
      </c>
      <c r="E34" s="11">
        <f ca="1">SUMIFS(INDIRECT("tblData["&amp;E$29&amp;"]"),tblData[Geslacht],Geslacht,tblData[Eerst/later],Eerst_later,tblData[Week],$B34)</f>
        <v>2850</v>
      </c>
      <c r="F34" s="11">
        <f ca="1">SUMIFS(INDIRECT("tblData["&amp;F$29&amp;"]"),tblData[Geslacht],Geslacht,tblData[Eerst/later],Eerst_later,tblData[Week],$B34)</f>
        <v>3100</v>
      </c>
      <c r="G34" s="11">
        <f ca="1">SUMIFS(INDIRECT("tblData["&amp;G$29&amp;"]"),tblData[Geslacht],Geslacht,tblData[Eerst/later],Eerst_later,tblData[Week],$B34)</f>
        <v>3370</v>
      </c>
      <c r="H34" s="11">
        <f ca="1">SUMIFS(INDIRECT("tblData["&amp;H$29&amp;"]"),tblData[Geslacht],Geslacht,tblData[Eerst/later],Eerst_later,tblData[Week],$B34)</f>
        <v>3650</v>
      </c>
      <c r="I34" s="11">
        <f ca="1">SUMIFS(INDIRECT("tblData["&amp;I$29&amp;"]"),tblData[Geslacht],Geslacht,tblData[Eerst/later],Eerst_later,tblData[Week],$B34)</f>
        <v>3910</v>
      </c>
      <c r="J34" s="11">
        <f ca="1">SUMIFS(INDIRECT("tblData["&amp;J$29&amp;"]"),tblData[Geslacht],Geslacht,tblData[Eerst/later],Eerst_later,tblData[Week],$B34)</f>
        <v>4070</v>
      </c>
      <c r="K34" s="21" t="e">
        <f t="shared" si="0"/>
        <v>#N/A</v>
      </c>
      <c r="L34" s="24" t="str">
        <f t="shared" si="1"/>
        <v/>
      </c>
      <c r="N34" t="s">
        <v>5</v>
      </c>
      <c r="O34">
        <f ca="1">INDEX(E30:E37,$O$31)</f>
        <v>2730</v>
      </c>
    </row>
    <row r="35" spans="2:15" x14ac:dyDescent="0.3">
      <c r="B35" s="6">
        <v>41</v>
      </c>
      <c r="C35" s="21">
        <f ca="1">SUMIFS(INDIRECT("tblData["&amp;C$29&amp;"]"),tblData[Geslacht],Geslacht,tblData[Eerst/later],Eerst_later,tblData[Week],$B35)</f>
        <v>3495</v>
      </c>
      <c r="D35" s="11">
        <f ca="1">SUMIFS(INDIRECT("tblData["&amp;D$29&amp;"]"),tblData[Geslacht],Geslacht,tblData[Eerst/later],Eerst_later,tblData[Week],$B35)</f>
        <v>2810</v>
      </c>
      <c r="E35" s="11">
        <f ca="1">SUMIFS(INDIRECT("tblData["&amp;E$29&amp;"]"),tblData[Geslacht],Geslacht,tblData[Eerst/later],Eerst_later,tblData[Week],$B35)</f>
        <v>3000</v>
      </c>
      <c r="F35" s="11">
        <f ca="1">SUMIFS(INDIRECT("tblData["&amp;F$29&amp;"]"),tblData[Geslacht],Geslacht,tblData[Eerst/later],Eerst_later,tblData[Week],$B35)</f>
        <v>3220</v>
      </c>
      <c r="G35" s="11">
        <f ca="1">SUMIFS(INDIRECT("tblData["&amp;G$29&amp;"]"),tblData[Geslacht],Geslacht,tblData[Eerst/later],Eerst_later,tblData[Week],$B35)</f>
        <v>3490</v>
      </c>
      <c r="H35" s="11">
        <f ca="1">SUMIFS(INDIRECT("tblData["&amp;H$29&amp;"]"),tblData[Geslacht],Geslacht,tblData[Eerst/later],Eerst_later,tblData[Week],$B35)</f>
        <v>3760</v>
      </c>
      <c r="I35" s="11">
        <f ca="1">SUMIFS(INDIRECT("tblData["&amp;I$29&amp;"]"),tblData[Geslacht],Geslacht,tblData[Eerst/later],Eerst_later,tblData[Week],$B35)</f>
        <v>4010</v>
      </c>
      <c r="J35" s="11">
        <f ca="1">SUMIFS(INDIRECT("tblData["&amp;J$29&amp;"]"),tblData[Geslacht],Geslacht,tblData[Eerst/later],Eerst_later,tblData[Week],$B35)</f>
        <v>4190</v>
      </c>
      <c r="K35" s="21" t="e">
        <f t="shared" si="0"/>
        <v>#N/A</v>
      </c>
      <c r="L35" s="24" t="str">
        <f t="shared" si="1"/>
        <v/>
      </c>
      <c r="N35" t="s">
        <v>6</v>
      </c>
      <c r="O35">
        <f ca="1">INDEX(F30:F37,$O$31)</f>
        <v>2980</v>
      </c>
    </row>
    <row r="36" spans="2:15" x14ac:dyDescent="0.3">
      <c r="B36" s="6">
        <v>42</v>
      </c>
      <c r="C36" s="21">
        <f ca="1">SUMIFS(INDIRECT("tblData["&amp;C$29&amp;"]"),tblData[Geslacht],Geslacht,tblData[Eerst/later],Eerst_later,tblData[Week],$B36)</f>
        <v>3575</v>
      </c>
      <c r="D36" s="11">
        <f ca="1">SUMIFS(INDIRECT("tblData["&amp;D$29&amp;"]"),tblData[Geslacht],Geslacht,tblData[Eerst/later],Eerst_later,tblData[Week],$B36)</f>
        <v>2910</v>
      </c>
      <c r="E36" s="11">
        <f ca="1">SUMIFS(INDIRECT("tblData["&amp;E$29&amp;"]"),tblData[Geslacht],Geslacht,tblData[Eerst/later],Eerst_later,tblData[Week],$B36)</f>
        <v>3060</v>
      </c>
      <c r="F36" s="11">
        <f ca="1">SUMIFS(INDIRECT("tblData["&amp;F$29&amp;"]"),tblData[Geslacht],Geslacht,tblData[Eerst/later],Eerst_later,tblData[Week],$B36)</f>
        <v>3280</v>
      </c>
      <c r="G36" s="11">
        <f ca="1">SUMIFS(INDIRECT("tblData["&amp;G$29&amp;"]"),tblData[Geslacht],Geslacht,tblData[Eerst/later],Eerst_later,tblData[Week],$B36)</f>
        <v>3580</v>
      </c>
      <c r="H36" s="11">
        <f ca="1">SUMIFS(INDIRECT("tblData["&amp;H$29&amp;"]"),tblData[Geslacht],Geslacht,tblData[Eerst/later],Eerst_later,tblData[Week],$B36)</f>
        <v>3850</v>
      </c>
      <c r="I36" s="11">
        <f ca="1">SUMIFS(INDIRECT("tblData["&amp;I$29&amp;"]"),tblData[Geslacht],Geslacht,tblData[Eerst/later],Eerst_later,tblData[Week],$B36)</f>
        <v>4100</v>
      </c>
      <c r="J36" s="11">
        <f ca="1">SUMIFS(INDIRECT("tblData["&amp;J$29&amp;"]"),tblData[Geslacht],Geslacht,tblData[Eerst/later],Eerst_later,tblData[Week],$B36)</f>
        <v>4260</v>
      </c>
      <c r="K36" s="21" t="e">
        <f t="shared" si="0"/>
        <v>#N/A</v>
      </c>
      <c r="L36" s="24" t="str">
        <f t="shared" si="1"/>
        <v/>
      </c>
      <c r="N36" t="s">
        <v>7</v>
      </c>
      <c r="O36">
        <f ca="1">INDEX(G30:G37,$O$31)</f>
        <v>3250</v>
      </c>
    </row>
    <row r="37" spans="2:15" ht="15" thickBot="1" x14ac:dyDescent="0.35">
      <c r="B37" s="7">
        <v>43</v>
      </c>
      <c r="C37" s="22">
        <f ca="1">SUMIFS(INDIRECT("tblData["&amp;C$29&amp;"]"),tblData[Geslacht],Geslacht,tblData[Eerst/later],Eerst_later,tblData[Week],$B37)</f>
        <v>3573</v>
      </c>
      <c r="D37" s="13">
        <f ca="1">SUMIFS(INDIRECT("tblData["&amp;D$29&amp;"]"),tblData[Geslacht],Geslacht,tblData[Eerst/later],Eerst_later,tblData[Week],$B37)</f>
        <v>2770</v>
      </c>
      <c r="E37" s="13">
        <f ca="1">SUMIFS(INDIRECT("tblData["&amp;E$29&amp;"]"),tblData[Geslacht],Geslacht,tblData[Eerst/later],Eerst_later,tblData[Week],$B37)</f>
        <v>3000</v>
      </c>
      <c r="F37" s="13">
        <f ca="1">SUMIFS(INDIRECT("tblData["&amp;F$29&amp;"]"),tblData[Geslacht],Geslacht,tblData[Eerst/later],Eerst_later,tblData[Week],$B37)</f>
        <v>3300</v>
      </c>
      <c r="G37" s="13">
        <f ca="1">SUMIFS(INDIRECT("tblData["&amp;G$29&amp;"]"),tblData[Geslacht],Geslacht,tblData[Eerst/later],Eerst_later,tblData[Week],$B37)</f>
        <v>3570</v>
      </c>
      <c r="H37" s="13">
        <f ca="1">SUMIFS(INDIRECT("tblData["&amp;H$29&amp;"]"),tblData[Geslacht],Geslacht,tblData[Eerst/later],Eerst_later,tblData[Week],$B37)</f>
        <v>3850</v>
      </c>
      <c r="I37" s="13">
        <f ca="1">SUMIFS(INDIRECT("tblData["&amp;I$29&amp;"]"),tblData[Geslacht],Geslacht,tblData[Eerst/later],Eerst_later,tblData[Week],$B37)</f>
        <v>4200</v>
      </c>
      <c r="J37" s="13">
        <f ca="1">SUMIFS(INDIRECT("tblData["&amp;J$29&amp;"]"),tblData[Geslacht],Geslacht,tblData[Eerst/later],Eerst_later,tblData[Week],$B37)</f>
        <v>4300</v>
      </c>
      <c r="K37" s="22" t="e">
        <f t="shared" si="0"/>
        <v>#N/A</v>
      </c>
      <c r="L37" s="25" t="str">
        <f t="shared" si="1"/>
        <v/>
      </c>
      <c r="N37" t="s">
        <v>8</v>
      </c>
      <c r="O37">
        <f ca="1">INDEX(H30:H37,$O$31)</f>
        <v>3490</v>
      </c>
    </row>
    <row r="38" spans="2:15" x14ac:dyDescent="0.3">
      <c r="N38" t="s">
        <v>9</v>
      </c>
      <c r="O38">
        <f ca="1">INDEX(I30:I37,$O$31)</f>
        <v>3730</v>
      </c>
    </row>
    <row r="39" spans="2:15" x14ac:dyDescent="0.3">
      <c r="N39" t="s">
        <v>10</v>
      </c>
      <c r="O39">
        <f ca="1">INDEX(J30:J37,$O$31)</f>
        <v>3840</v>
      </c>
    </row>
    <row r="41" spans="2:15" x14ac:dyDescent="0.3">
      <c r="N41" t="str">
        <f ca="1">"Gem = "&amp;O32&amp;",
 P25 = "&amp;O35&amp;", P75 = "&amp;O37</f>
        <v>Gem = 3234,
 P25 = 2980, P75 = 3490</v>
      </c>
    </row>
  </sheetData>
  <conditionalFormatting sqref="N30 B30:L37">
    <cfRule type="expression" dxfId="0" priority="1">
      <formula>$B30=GebWeek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Option Button 1">
              <controlPr defaultSize="0" autoFill="0" autoLine="0" autoPict="0">
                <anchor moveWithCells="1">
                  <from>
                    <xdr:col>1</xdr:col>
                    <xdr:colOff>670560</xdr:colOff>
                    <xdr:row>1</xdr:row>
                    <xdr:rowOff>175260</xdr:rowOff>
                  </from>
                  <to>
                    <xdr:col>2</xdr:col>
                    <xdr:colOff>411480</xdr:colOff>
                    <xdr:row>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2</xdr:col>
                    <xdr:colOff>571500</xdr:colOff>
                    <xdr:row>1</xdr:row>
                    <xdr:rowOff>167640</xdr:rowOff>
                  </from>
                  <to>
                    <xdr:col>3</xdr:col>
                    <xdr:colOff>160020</xdr:colOff>
                    <xdr:row>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Group Box 3">
              <controlPr defaultSize="0" autoFill="0" autoPict="0">
                <anchor moveWithCells="1">
                  <from>
                    <xdr:col>1</xdr:col>
                    <xdr:colOff>457200</xdr:colOff>
                    <xdr:row>1</xdr:row>
                    <xdr:rowOff>22860</xdr:rowOff>
                  </from>
                  <to>
                    <xdr:col>3</xdr:col>
                    <xdr:colOff>457200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5</xdr:col>
                    <xdr:colOff>106680</xdr:colOff>
                    <xdr:row>1</xdr:row>
                    <xdr:rowOff>160020</xdr:rowOff>
                  </from>
                  <to>
                    <xdr:col>6</xdr:col>
                    <xdr:colOff>533400</xdr:colOff>
                    <xdr:row>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Option Button 6">
              <controlPr defaultSize="0" autoFill="0" autoLine="0" autoPict="0">
                <anchor moveWithCells="1">
                  <from>
                    <xdr:col>7</xdr:col>
                    <xdr:colOff>152400</xdr:colOff>
                    <xdr:row>1</xdr:row>
                    <xdr:rowOff>175260</xdr:rowOff>
                  </from>
                  <to>
                    <xdr:col>8</xdr:col>
                    <xdr:colOff>502920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Group Box 7">
              <controlPr defaultSize="0" autoFill="0" autoPict="0">
                <anchor moveWithCells="1">
                  <from>
                    <xdr:col>4</xdr:col>
                    <xdr:colOff>289560</xdr:colOff>
                    <xdr:row>1</xdr:row>
                    <xdr:rowOff>30480</xdr:rowOff>
                  </from>
                  <to>
                    <xdr:col>9</xdr:col>
                    <xdr:colOff>289560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Scroll Bar 8">
              <controlPr defaultSize="0" autoPict="0">
                <anchor moveWithCells="1">
                  <from>
                    <xdr:col>1</xdr:col>
                    <xdr:colOff>320040</xdr:colOff>
                    <xdr:row>22</xdr:row>
                    <xdr:rowOff>91440</xdr:rowOff>
                  </from>
                  <to>
                    <xdr:col>9</xdr:col>
                    <xdr:colOff>579120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69E6-8A68-45A4-9D1F-522F5A2476A1}">
  <dimension ref="A1:Q41"/>
  <sheetViews>
    <sheetView showGridLines="0" zoomScale="90" zoomScaleNormal="90" workbookViewId="0"/>
  </sheetViews>
  <sheetFormatPr defaultRowHeight="14.4" x14ac:dyDescent="0.3"/>
  <cols>
    <col min="1" max="1" width="3.21875" customWidth="1"/>
    <col min="2" max="2" width="6.109375" style="3" bestFit="1" customWidth="1"/>
    <col min="3" max="3" width="12.5546875" bestFit="1" customWidth="1"/>
    <col min="4" max="10" width="7" bestFit="1" customWidth="1"/>
    <col min="11" max="11" width="8" bestFit="1" customWidth="1"/>
    <col min="12" max="12" width="7" bestFit="1" customWidth="1"/>
    <col min="13" max="13" width="22.5546875" bestFit="1" customWidth="1"/>
    <col min="14" max="14" width="12.44140625" bestFit="1" customWidth="1"/>
    <col min="15" max="15" width="15.6640625" customWidth="1"/>
    <col min="16" max="16" width="11.77734375" bestFit="1" customWidth="1"/>
    <col min="17" max="17" width="10" bestFit="1" customWidth="1"/>
    <col min="18" max="18" width="0" hidden="1" customWidth="1"/>
  </cols>
  <sheetData>
    <row r="1" spans="1:15" ht="15" thickBot="1" x14ac:dyDescent="0.35"/>
    <row r="2" spans="1:15" x14ac:dyDescent="0.3">
      <c r="C2" s="34" t="s">
        <v>31</v>
      </c>
      <c r="D2" s="37" t="s">
        <v>47</v>
      </c>
    </row>
    <row r="3" spans="1:15" x14ac:dyDescent="0.3">
      <c r="C3" s="35" t="s">
        <v>26</v>
      </c>
      <c r="D3" s="38">
        <v>39</v>
      </c>
    </row>
    <row r="4" spans="1:15" ht="15" thickBot="1" x14ac:dyDescent="0.35">
      <c r="C4" s="36" t="s">
        <v>32</v>
      </c>
      <c r="D4" s="39">
        <v>3000</v>
      </c>
    </row>
    <row r="5" spans="1:15" ht="15" thickBot="1" x14ac:dyDescent="0.35">
      <c r="A5" s="26"/>
      <c r="C5" s="26"/>
      <c r="K5" s="26"/>
      <c r="L5" s="26"/>
      <c r="M5" s="26"/>
      <c r="N5" s="26"/>
    </row>
    <row r="6" spans="1:15" x14ac:dyDescent="0.3">
      <c r="A6" s="26"/>
      <c r="B6" s="27"/>
      <c r="C6" s="26"/>
      <c r="K6" s="26"/>
      <c r="M6" s="28">
        <v>1</v>
      </c>
      <c r="N6" s="29" t="str">
        <f>IF(M6=1,"m","v")</f>
        <v>m</v>
      </c>
      <c r="O6" s="19" t="str">
        <f>"Geboortegewicht in gram ("&amp;Geslacht&amp;", "&amp;Eerst_later&amp;")"</f>
        <v>Geboortegewicht in gram (m, Eerstgeboren)</v>
      </c>
    </row>
    <row r="7" spans="1:15" ht="15" thickBot="1" x14ac:dyDescent="0.35">
      <c r="A7" s="26"/>
      <c r="B7" s="27"/>
      <c r="C7" s="26"/>
      <c r="K7" s="26"/>
      <c r="M7" s="32">
        <v>1</v>
      </c>
      <c r="N7" s="33" t="str">
        <f>IF(M7=1,"Eerstgeboren","Latergeboren")</f>
        <v>Eerstgeboren</v>
      </c>
    </row>
    <row r="8" spans="1:15" x14ac:dyDescent="0.3">
      <c r="A8" s="26"/>
      <c r="B8" s="27"/>
      <c r="C8" s="26"/>
      <c r="K8" s="26"/>
      <c r="M8" s="11"/>
      <c r="N8" s="11"/>
    </row>
    <row r="9" spans="1:15" ht="15" thickBot="1" x14ac:dyDescent="0.35">
      <c r="A9" s="26"/>
      <c r="C9" s="26"/>
      <c r="K9" s="26"/>
    </row>
    <row r="10" spans="1:15" x14ac:dyDescent="0.3">
      <c r="A10" s="26"/>
      <c r="C10" s="26"/>
      <c r="K10" s="26"/>
      <c r="M10" s="28" t="s">
        <v>40</v>
      </c>
      <c r="N10" s="44">
        <f>MATCH(D3,B34:B41,0)</f>
        <v>4</v>
      </c>
      <c r="O10" s="41"/>
    </row>
    <row r="11" spans="1:15" x14ac:dyDescent="0.3">
      <c r="A11" s="26"/>
      <c r="C11" s="26"/>
      <c r="M11" s="30" t="s">
        <v>42</v>
      </c>
      <c r="N11" s="21">
        <f ca="1">MATCH(D4,OFFSET(D33,N10,0,1,7))</f>
        <v>3</v>
      </c>
      <c r="O11" s="12">
        <f ca="1">N11+1</f>
        <v>4</v>
      </c>
    </row>
    <row r="12" spans="1:15" x14ac:dyDescent="0.3">
      <c r="A12" s="26"/>
      <c r="C12" s="26"/>
      <c r="M12" s="30" t="s">
        <v>41</v>
      </c>
      <c r="N12" s="45">
        <f ca="1">CHOOSE(N11,5,10,25,50,75,90,95)</f>
        <v>25</v>
      </c>
      <c r="O12" s="31">
        <f ca="1">CHOOSE(O11,5,10,25,50,75,90,95)</f>
        <v>50</v>
      </c>
    </row>
    <row r="13" spans="1:15" x14ac:dyDescent="0.3">
      <c r="A13" s="26"/>
      <c r="C13" s="26"/>
      <c r="M13" s="47" t="s">
        <v>43</v>
      </c>
      <c r="N13" s="48">
        <f ca="1">INDEX(D34:J41,N10,N11)</f>
        <v>2980</v>
      </c>
      <c r="O13" s="49">
        <f ca="1">INDEX(D34:J41,N10,O11)</f>
        <v>3250</v>
      </c>
    </row>
    <row r="14" spans="1:15" x14ac:dyDescent="0.3">
      <c r="A14" s="26"/>
      <c r="C14" s="26"/>
      <c r="M14" s="50"/>
      <c r="N14" s="51"/>
      <c r="O14" s="52">
        <f ca="1">N12+(O12-N12)*(D4-N13)/(O13-N13)</f>
        <v>26.851851851851851</v>
      </c>
    </row>
    <row r="15" spans="1:15" ht="15" thickBot="1" x14ac:dyDescent="0.35">
      <c r="A15" s="26"/>
      <c r="C15" s="26"/>
      <c r="M15" s="32"/>
      <c r="N15" s="46"/>
      <c r="O15" s="53" t="str">
        <f ca="1">TEXT(O14,"#")&amp;"% is lichter dan "&amp;Naam</f>
        <v>27% is lichter dan Gijs</v>
      </c>
    </row>
    <row r="16" spans="1:15" x14ac:dyDescent="0.3">
      <c r="A16" s="26"/>
      <c r="C16" s="26"/>
      <c r="N16" s="1"/>
    </row>
    <row r="17" spans="1:17" x14ac:dyDescent="0.3">
      <c r="A17" s="26"/>
      <c r="C17" s="26"/>
      <c r="N17" s="1"/>
    </row>
    <row r="18" spans="1:17" x14ac:dyDescent="0.3">
      <c r="A18" s="26"/>
      <c r="C18" s="26"/>
    </row>
    <row r="19" spans="1:17" x14ac:dyDescent="0.3">
      <c r="A19" s="26"/>
      <c r="C19" s="26"/>
      <c r="Q19" s="1"/>
    </row>
    <row r="20" spans="1:17" x14ac:dyDescent="0.3">
      <c r="A20" s="26"/>
      <c r="C20" s="26"/>
      <c r="Q20" s="1"/>
    </row>
    <row r="21" spans="1:17" x14ac:dyDescent="0.3">
      <c r="A21" s="26"/>
      <c r="C21" s="26"/>
      <c r="P21" s="1"/>
      <c r="Q21" s="1"/>
    </row>
    <row r="22" spans="1:17" x14ac:dyDescent="0.3">
      <c r="A22" s="26"/>
      <c r="C22" s="26"/>
      <c r="P22" s="1"/>
      <c r="Q22" s="1"/>
    </row>
    <row r="23" spans="1:17" x14ac:dyDescent="0.3">
      <c r="A23" s="26"/>
      <c r="C23" s="26"/>
      <c r="P23" s="1"/>
      <c r="Q23" s="1"/>
    </row>
    <row r="24" spans="1:17" x14ac:dyDescent="0.3">
      <c r="A24" s="26"/>
      <c r="C24" s="26"/>
      <c r="P24" s="1"/>
      <c r="Q24" s="1"/>
    </row>
    <row r="25" spans="1:17" x14ac:dyDescent="0.3">
      <c r="A25" s="26"/>
      <c r="C25" s="26"/>
      <c r="P25" s="1"/>
      <c r="Q25" s="1"/>
    </row>
    <row r="26" spans="1:17" x14ac:dyDescent="0.3">
      <c r="A26" s="26"/>
      <c r="C26" s="26"/>
      <c r="P26" s="1"/>
      <c r="Q26" s="1"/>
    </row>
    <row r="27" spans="1:17" x14ac:dyDescent="0.3">
      <c r="A27" s="26"/>
      <c r="C27" s="26"/>
      <c r="P27" s="1"/>
      <c r="Q27" s="1"/>
    </row>
    <row r="28" spans="1:17" x14ac:dyDescent="0.3">
      <c r="A28" s="26"/>
      <c r="C28" s="26"/>
      <c r="P28" s="1"/>
    </row>
    <row r="29" spans="1:17" x14ac:dyDescent="0.3">
      <c r="P29" s="1"/>
    </row>
    <row r="30" spans="1:17" x14ac:dyDescent="0.3">
      <c r="P30" s="1"/>
    </row>
    <row r="31" spans="1:17" x14ac:dyDescent="0.3">
      <c r="P31" s="1"/>
    </row>
    <row r="32" spans="1:17" ht="15" thickBot="1" x14ac:dyDescent="0.35"/>
    <row r="33" spans="2:14" ht="15.6" x14ac:dyDescent="0.35">
      <c r="B33" s="8" t="s">
        <v>14</v>
      </c>
      <c r="C33" s="20" t="s">
        <v>3</v>
      </c>
      <c r="D33" s="9" t="s">
        <v>19</v>
      </c>
      <c r="E33" s="9" t="s">
        <v>20</v>
      </c>
      <c r="F33" s="9" t="s">
        <v>21</v>
      </c>
      <c r="G33" s="9" t="s">
        <v>22</v>
      </c>
      <c r="H33" s="9" t="s">
        <v>23</v>
      </c>
      <c r="I33" s="9" t="s">
        <v>24</v>
      </c>
      <c r="J33" s="9" t="s">
        <v>25</v>
      </c>
      <c r="K33" s="20" t="s">
        <v>33</v>
      </c>
      <c r="L33" s="20" t="s">
        <v>34</v>
      </c>
      <c r="M33" s="20" t="s">
        <v>36</v>
      </c>
      <c r="N33" s="23" t="s">
        <v>35</v>
      </c>
    </row>
    <row r="34" spans="2:14" x14ac:dyDescent="0.3">
      <c r="B34" s="6">
        <v>36</v>
      </c>
      <c r="C34" s="21">
        <f ca="1">SUMIFS(INDIRECT("tblData["&amp;C$33&amp;"]"),tblData[Geslacht],Geslacht,tblData[Eerst/later],Eerst_later,tblData[Week],$B34)</f>
        <v>2781</v>
      </c>
      <c r="D34" s="11">
        <f ca="1">SUMIFS(INDIRECT("tblData["&amp;D$33&amp;"]"),tblData[Geslacht],Geslacht,tblData[Eerst/later],Eerst_later,tblData[Week],$B34)</f>
        <v>2110</v>
      </c>
      <c r="E34" s="11">
        <f ca="1">SUMIFS(INDIRECT("tblData["&amp;E$33&amp;"]"),tblData[Geslacht],Geslacht,tblData[Eerst/later],Eerst_later,tblData[Week],$B34)</f>
        <v>2290</v>
      </c>
      <c r="F34" s="11">
        <f ca="1">SUMIFS(INDIRECT("tblData["&amp;F$33&amp;"]"),tblData[Geslacht],Geslacht,tblData[Eerst/later],Eerst_later,tblData[Week],$B34)</f>
        <v>2530</v>
      </c>
      <c r="G34" s="11">
        <f ca="1">SUMIFS(INDIRECT("tblData["&amp;G$33&amp;"]"),tblData[Geslacht],Geslacht,tblData[Eerst/later],Eerst_later,tblData[Week],$B34)</f>
        <v>2820</v>
      </c>
      <c r="H34" s="11">
        <f ca="1">SUMIFS(INDIRECT("tblData["&amp;H$33&amp;"]"),tblData[Geslacht],Geslacht,tblData[Eerst/later],Eerst_later,tblData[Week],$B34)</f>
        <v>3050</v>
      </c>
      <c r="I34" s="11">
        <f ca="1">SUMIFS(INDIRECT("tblData["&amp;I$33&amp;"]"),tblData[Geslacht],Geslacht,tblData[Eerst/later],Eerst_later,tblData[Week],$B34)</f>
        <v>3220</v>
      </c>
      <c r="J34" s="11">
        <f ca="1">SUMIFS(INDIRECT("tblData["&amp;J$33&amp;"]"),tblData[Geslacht],Geslacht,tblData[Eerst/later],Eerst_later,tblData[Week],$B34)</f>
        <v>3300</v>
      </c>
      <c r="K34" s="21" t="e">
        <f>IF(B34=$D$3,TRUE,NA())</f>
        <v>#N/A</v>
      </c>
      <c r="L34" s="21" t="e">
        <f>IF(B34=$D$3,$D$4,NA())</f>
        <v>#N/A</v>
      </c>
      <c r="M34" s="21" t="str">
        <f t="shared" ref="M34:M41" si="0">IF(B34=$D$3,$O$15,"")</f>
        <v/>
      </c>
      <c r="N34" s="24">
        <f t="shared" ref="N34:N41" si="1">$D$4</f>
        <v>3000</v>
      </c>
    </row>
    <row r="35" spans="2:14" x14ac:dyDescent="0.3">
      <c r="B35" s="6">
        <v>37</v>
      </c>
      <c r="C35" s="21">
        <f ca="1">SUMIFS(INDIRECT("tblData["&amp;C$33&amp;"]"),tblData[Geslacht],Geslacht,tblData[Eerst/later],Eerst_later,tblData[Week],$B35)</f>
        <v>2850</v>
      </c>
      <c r="D35" s="11">
        <f ca="1">SUMIFS(INDIRECT("tblData["&amp;D$33&amp;"]"),tblData[Geslacht],Geslacht,tblData[Eerst/later],Eerst_later,tblData[Week],$B35)</f>
        <v>2180</v>
      </c>
      <c r="E35" s="11">
        <f ca="1">SUMIFS(INDIRECT("tblData["&amp;E$33&amp;"]"),tblData[Geslacht],Geslacht,tblData[Eerst/later],Eerst_later,tblData[Week],$B35)</f>
        <v>2370</v>
      </c>
      <c r="F35" s="11">
        <f ca="1">SUMIFS(INDIRECT("tblData["&amp;F$33&amp;"]"),tblData[Geslacht],Geslacht,tblData[Eerst/later],Eerst_later,tblData[Week],$B35)</f>
        <v>2550</v>
      </c>
      <c r="G35" s="11">
        <f ca="1">SUMIFS(INDIRECT("tblData["&amp;G$33&amp;"]"),tblData[Geslacht],Geslacht,tblData[Eerst/later],Eerst_later,tblData[Week],$B35)</f>
        <v>2840</v>
      </c>
      <c r="H35" s="11">
        <f ca="1">SUMIFS(INDIRECT("tblData["&amp;H$33&amp;"]"),tblData[Geslacht],Geslacht,tblData[Eerst/later],Eerst_later,tblData[Week],$B35)</f>
        <v>3130</v>
      </c>
      <c r="I35" s="11">
        <f ca="1">SUMIFS(INDIRECT("tblData["&amp;I$33&amp;"]"),tblData[Geslacht],Geslacht,tblData[Eerst/later],Eerst_later,tblData[Week],$B35)</f>
        <v>3410</v>
      </c>
      <c r="J35" s="11">
        <f ca="1">SUMIFS(INDIRECT("tblData["&amp;J$33&amp;"]"),tblData[Geslacht],Geslacht,tblData[Eerst/later],Eerst_later,tblData[Week],$B35)</f>
        <v>3550</v>
      </c>
      <c r="K35" s="21" t="e">
        <f t="shared" ref="K35:K41" si="2">IF(B35=$D$3,TRUE,NA())</f>
        <v>#N/A</v>
      </c>
      <c r="L35" s="21" t="e">
        <f t="shared" ref="L35:L41" si="3">IF(B35=$D$3,$D$4,NA())</f>
        <v>#N/A</v>
      </c>
      <c r="M35" s="21" t="str">
        <f t="shared" si="0"/>
        <v/>
      </c>
      <c r="N35" s="24">
        <f t="shared" si="1"/>
        <v>3000</v>
      </c>
    </row>
    <row r="36" spans="2:14" x14ac:dyDescent="0.3">
      <c r="B36" s="6">
        <v>38</v>
      </c>
      <c r="C36" s="21">
        <f ca="1">SUMIFS(INDIRECT("tblData["&amp;C$33&amp;"]"),tblData[Geslacht],Geslacht,tblData[Eerst/later],Eerst_later,tblData[Week],$B36)</f>
        <v>3076</v>
      </c>
      <c r="D36" s="11">
        <f ca="1">SUMIFS(INDIRECT("tblData["&amp;D$33&amp;"]"),tblData[Geslacht],Geslacht,tblData[Eerst/later],Eerst_later,tblData[Week],$B36)</f>
        <v>2370</v>
      </c>
      <c r="E36" s="11">
        <f ca="1">SUMIFS(INDIRECT("tblData["&amp;E$33&amp;"]"),tblData[Geslacht],Geslacht,tblData[Eerst/later],Eerst_later,tblData[Week],$B36)</f>
        <v>2510</v>
      </c>
      <c r="F36" s="11">
        <f ca="1">SUMIFS(INDIRECT("tblData["&amp;F$33&amp;"]"),tblData[Geslacht],Geslacht,tblData[Eerst/later],Eerst_later,tblData[Week],$B36)</f>
        <v>2790</v>
      </c>
      <c r="G36" s="11">
        <f ca="1">SUMIFS(INDIRECT("tblData["&amp;G$33&amp;"]"),tblData[Geslacht],Geslacht,tblData[Eerst/later],Eerst_later,tblData[Week],$B36)</f>
        <v>3120</v>
      </c>
      <c r="H36" s="11">
        <f ca="1">SUMIFS(INDIRECT("tblData["&amp;H$33&amp;"]"),tblData[Geslacht],Geslacht,tblData[Eerst/later],Eerst_later,tblData[Week],$B36)</f>
        <v>3350</v>
      </c>
      <c r="I36" s="11">
        <f ca="1">SUMIFS(INDIRECT("tblData["&amp;I$33&amp;"]"),tblData[Geslacht],Geslacht,tblData[Eerst/later],Eerst_later,tblData[Week],$B36)</f>
        <v>3620</v>
      </c>
      <c r="J36" s="11">
        <f ca="1">SUMIFS(INDIRECT("tblData["&amp;J$33&amp;"]"),tblData[Geslacht],Geslacht,tblData[Eerst/later],Eerst_later,tblData[Week],$B36)</f>
        <v>3790</v>
      </c>
      <c r="K36" s="21" t="e">
        <f t="shared" si="2"/>
        <v>#N/A</v>
      </c>
      <c r="L36" s="21" t="e">
        <f t="shared" si="3"/>
        <v>#N/A</v>
      </c>
      <c r="M36" s="21" t="str">
        <f t="shared" si="0"/>
        <v/>
      </c>
      <c r="N36" s="24">
        <f t="shared" si="1"/>
        <v>3000</v>
      </c>
    </row>
    <row r="37" spans="2:14" x14ac:dyDescent="0.3">
      <c r="B37" s="6">
        <v>39</v>
      </c>
      <c r="C37" s="21">
        <f ca="1">SUMIFS(INDIRECT("tblData["&amp;C$33&amp;"]"),tblData[Geslacht],Geslacht,tblData[Eerst/later],Eerst_later,tblData[Week],$B37)</f>
        <v>3234</v>
      </c>
      <c r="D37" s="11">
        <f ca="1">SUMIFS(INDIRECT("tblData["&amp;D$33&amp;"]"),tblData[Geslacht],Geslacht,tblData[Eerst/later],Eerst_later,tblData[Week],$B37)</f>
        <v>2600</v>
      </c>
      <c r="E37" s="11">
        <f ca="1">SUMIFS(INDIRECT("tblData["&amp;E$33&amp;"]"),tblData[Geslacht],Geslacht,tblData[Eerst/later],Eerst_later,tblData[Week],$B37)</f>
        <v>2730</v>
      </c>
      <c r="F37" s="11">
        <f ca="1">SUMIFS(INDIRECT("tblData["&amp;F$33&amp;"]"),tblData[Geslacht],Geslacht,tblData[Eerst/later],Eerst_later,tblData[Week],$B37)</f>
        <v>2980</v>
      </c>
      <c r="G37" s="11">
        <f ca="1">SUMIFS(INDIRECT("tblData["&amp;G$33&amp;"]"),tblData[Geslacht],Geslacht,tblData[Eerst/later],Eerst_later,tblData[Week],$B37)</f>
        <v>3250</v>
      </c>
      <c r="H37" s="11">
        <f ca="1">SUMIFS(INDIRECT("tblData["&amp;H$33&amp;"]"),tblData[Geslacht],Geslacht,tblData[Eerst/later],Eerst_later,tblData[Week],$B37)</f>
        <v>3490</v>
      </c>
      <c r="I37" s="11">
        <f ca="1">SUMIFS(INDIRECT("tblData["&amp;I$33&amp;"]"),tblData[Geslacht],Geslacht,tblData[Eerst/later],Eerst_later,tblData[Week],$B37)</f>
        <v>3730</v>
      </c>
      <c r="J37" s="11">
        <f ca="1">SUMIFS(INDIRECT("tblData["&amp;J$33&amp;"]"),tblData[Geslacht],Geslacht,tblData[Eerst/later],Eerst_later,tblData[Week],$B37)</f>
        <v>3840</v>
      </c>
      <c r="K37" s="21" t="b">
        <f t="shared" si="2"/>
        <v>1</v>
      </c>
      <c r="L37" s="21">
        <f t="shared" si="3"/>
        <v>3000</v>
      </c>
      <c r="M37" s="21" t="str">
        <f t="shared" ca="1" si="0"/>
        <v>27% is lichter dan Gijs</v>
      </c>
      <c r="N37" s="24">
        <f t="shared" si="1"/>
        <v>3000</v>
      </c>
    </row>
    <row r="38" spans="2:14" x14ac:dyDescent="0.3">
      <c r="B38" s="6">
        <v>40</v>
      </c>
      <c r="C38" s="21">
        <f ca="1">SUMIFS(INDIRECT("tblData["&amp;C$33&amp;"]"),tblData[Geslacht],Geslacht,tblData[Eerst/later],Eerst_later,tblData[Week],$B38)</f>
        <v>3376</v>
      </c>
      <c r="D38" s="11">
        <f ca="1">SUMIFS(INDIRECT("tblData["&amp;D$33&amp;"]"),tblData[Geslacht],Geslacht,tblData[Eerst/later],Eerst_later,tblData[Week],$B38)</f>
        <v>2690</v>
      </c>
      <c r="E38" s="11">
        <f ca="1">SUMIFS(INDIRECT("tblData["&amp;E$33&amp;"]"),tblData[Geslacht],Geslacht,tblData[Eerst/later],Eerst_later,tblData[Week],$B38)</f>
        <v>2850</v>
      </c>
      <c r="F38" s="11">
        <f ca="1">SUMIFS(INDIRECT("tblData["&amp;F$33&amp;"]"),tblData[Geslacht],Geslacht,tblData[Eerst/later],Eerst_later,tblData[Week],$B38)</f>
        <v>3100</v>
      </c>
      <c r="G38" s="11">
        <f ca="1">SUMIFS(INDIRECT("tblData["&amp;G$33&amp;"]"),tblData[Geslacht],Geslacht,tblData[Eerst/later],Eerst_later,tblData[Week],$B38)</f>
        <v>3370</v>
      </c>
      <c r="H38" s="11">
        <f ca="1">SUMIFS(INDIRECT("tblData["&amp;H$33&amp;"]"),tblData[Geslacht],Geslacht,tblData[Eerst/later],Eerst_later,tblData[Week],$B38)</f>
        <v>3650</v>
      </c>
      <c r="I38" s="11">
        <f ca="1">SUMIFS(INDIRECT("tblData["&amp;I$33&amp;"]"),tblData[Geslacht],Geslacht,tblData[Eerst/later],Eerst_later,tblData[Week],$B38)</f>
        <v>3910</v>
      </c>
      <c r="J38" s="11">
        <f ca="1">SUMIFS(INDIRECT("tblData["&amp;J$33&amp;"]"),tblData[Geslacht],Geslacht,tblData[Eerst/later],Eerst_later,tblData[Week],$B38)</f>
        <v>4070</v>
      </c>
      <c r="K38" s="21" t="e">
        <f t="shared" si="2"/>
        <v>#N/A</v>
      </c>
      <c r="L38" s="21" t="e">
        <f t="shared" si="3"/>
        <v>#N/A</v>
      </c>
      <c r="M38" s="21" t="str">
        <f t="shared" si="0"/>
        <v/>
      </c>
      <c r="N38" s="24">
        <f t="shared" si="1"/>
        <v>3000</v>
      </c>
    </row>
    <row r="39" spans="2:14" x14ac:dyDescent="0.3">
      <c r="B39" s="6">
        <v>41</v>
      </c>
      <c r="C39" s="21">
        <f ca="1">SUMIFS(INDIRECT("tblData["&amp;C$33&amp;"]"),tblData[Geslacht],Geslacht,tblData[Eerst/later],Eerst_later,tblData[Week],$B39)</f>
        <v>3495</v>
      </c>
      <c r="D39" s="11">
        <f ca="1">SUMIFS(INDIRECT("tblData["&amp;D$33&amp;"]"),tblData[Geslacht],Geslacht,tblData[Eerst/later],Eerst_later,tblData[Week],$B39)</f>
        <v>2810</v>
      </c>
      <c r="E39" s="11">
        <f ca="1">SUMIFS(INDIRECT("tblData["&amp;E$33&amp;"]"),tblData[Geslacht],Geslacht,tblData[Eerst/later],Eerst_later,tblData[Week],$B39)</f>
        <v>3000</v>
      </c>
      <c r="F39" s="11">
        <f ca="1">SUMIFS(INDIRECT("tblData["&amp;F$33&amp;"]"),tblData[Geslacht],Geslacht,tblData[Eerst/later],Eerst_later,tblData[Week],$B39)</f>
        <v>3220</v>
      </c>
      <c r="G39" s="11">
        <f ca="1">SUMIFS(INDIRECT("tblData["&amp;G$33&amp;"]"),tblData[Geslacht],Geslacht,tblData[Eerst/later],Eerst_later,tblData[Week],$B39)</f>
        <v>3490</v>
      </c>
      <c r="H39" s="11">
        <f ca="1">SUMIFS(INDIRECT("tblData["&amp;H$33&amp;"]"),tblData[Geslacht],Geslacht,tblData[Eerst/later],Eerst_later,tblData[Week],$B39)</f>
        <v>3760</v>
      </c>
      <c r="I39" s="11">
        <f ca="1">SUMIFS(INDIRECT("tblData["&amp;I$33&amp;"]"),tblData[Geslacht],Geslacht,tblData[Eerst/later],Eerst_later,tblData[Week],$B39)</f>
        <v>4010</v>
      </c>
      <c r="J39" s="11">
        <f ca="1">SUMIFS(INDIRECT("tblData["&amp;J$33&amp;"]"),tblData[Geslacht],Geslacht,tblData[Eerst/later],Eerst_later,tblData[Week],$B39)</f>
        <v>4190</v>
      </c>
      <c r="K39" s="21" t="e">
        <f t="shared" si="2"/>
        <v>#N/A</v>
      </c>
      <c r="L39" s="21" t="e">
        <f t="shared" si="3"/>
        <v>#N/A</v>
      </c>
      <c r="M39" s="21" t="str">
        <f t="shared" si="0"/>
        <v/>
      </c>
      <c r="N39" s="24">
        <f t="shared" si="1"/>
        <v>3000</v>
      </c>
    </row>
    <row r="40" spans="2:14" x14ac:dyDescent="0.3">
      <c r="B40" s="6">
        <v>42</v>
      </c>
      <c r="C40" s="21">
        <f ca="1">SUMIFS(INDIRECT("tblData["&amp;C$33&amp;"]"),tblData[Geslacht],Geslacht,tblData[Eerst/later],Eerst_later,tblData[Week],$B40)</f>
        <v>3575</v>
      </c>
      <c r="D40" s="11">
        <f ca="1">SUMIFS(INDIRECT("tblData["&amp;D$33&amp;"]"),tblData[Geslacht],Geslacht,tblData[Eerst/later],Eerst_later,tblData[Week],$B40)</f>
        <v>2910</v>
      </c>
      <c r="E40" s="11">
        <f ca="1">SUMIFS(INDIRECT("tblData["&amp;E$33&amp;"]"),tblData[Geslacht],Geslacht,tblData[Eerst/later],Eerst_later,tblData[Week],$B40)</f>
        <v>3060</v>
      </c>
      <c r="F40" s="11">
        <f ca="1">SUMIFS(INDIRECT("tblData["&amp;F$33&amp;"]"),tblData[Geslacht],Geslacht,tblData[Eerst/later],Eerst_later,tblData[Week],$B40)</f>
        <v>3280</v>
      </c>
      <c r="G40" s="11">
        <f ca="1">SUMIFS(INDIRECT("tblData["&amp;G$33&amp;"]"),tblData[Geslacht],Geslacht,tblData[Eerst/later],Eerst_later,tblData[Week],$B40)</f>
        <v>3580</v>
      </c>
      <c r="H40" s="11">
        <f ca="1">SUMIFS(INDIRECT("tblData["&amp;H$33&amp;"]"),tblData[Geslacht],Geslacht,tblData[Eerst/later],Eerst_later,tblData[Week],$B40)</f>
        <v>3850</v>
      </c>
      <c r="I40" s="11">
        <f ca="1">SUMIFS(INDIRECT("tblData["&amp;I$33&amp;"]"),tblData[Geslacht],Geslacht,tblData[Eerst/later],Eerst_later,tblData[Week],$B40)</f>
        <v>4100</v>
      </c>
      <c r="J40" s="11">
        <f ca="1">SUMIFS(INDIRECT("tblData["&amp;J$33&amp;"]"),tblData[Geslacht],Geslacht,tblData[Eerst/later],Eerst_later,tblData[Week],$B40)</f>
        <v>4260</v>
      </c>
      <c r="K40" s="21" t="e">
        <f t="shared" si="2"/>
        <v>#N/A</v>
      </c>
      <c r="L40" s="21" t="e">
        <f t="shared" si="3"/>
        <v>#N/A</v>
      </c>
      <c r="M40" s="21" t="str">
        <f t="shared" si="0"/>
        <v/>
      </c>
      <c r="N40" s="24">
        <f t="shared" si="1"/>
        <v>3000</v>
      </c>
    </row>
    <row r="41" spans="2:14" ht="15" thickBot="1" x14ac:dyDescent="0.35">
      <c r="B41" s="7">
        <v>43</v>
      </c>
      <c r="C41" s="22">
        <f ca="1">SUMIFS(INDIRECT("tblData["&amp;C$33&amp;"]"),tblData[Geslacht],Geslacht,tblData[Eerst/later],Eerst_later,tblData[Week],$B41)</f>
        <v>3573</v>
      </c>
      <c r="D41" s="13">
        <f ca="1">SUMIFS(INDIRECT("tblData["&amp;D$33&amp;"]"),tblData[Geslacht],Geslacht,tblData[Eerst/later],Eerst_later,tblData[Week],$B41)</f>
        <v>2770</v>
      </c>
      <c r="E41" s="13">
        <f ca="1">SUMIFS(INDIRECT("tblData["&amp;E$33&amp;"]"),tblData[Geslacht],Geslacht,tblData[Eerst/later],Eerst_later,tblData[Week],$B41)</f>
        <v>3000</v>
      </c>
      <c r="F41" s="13">
        <f ca="1">SUMIFS(INDIRECT("tblData["&amp;F$33&amp;"]"),tblData[Geslacht],Geslacht,tblData[Eerst/later],Eerst_later,tblData[Week],$B41)</f>
        <v>3300</v>
      </c>
      <c r="G41" s="13">
        <f ca="1">SUMIFS(INDIRECT("tblData["&amp;G$33&amp;"]"),tblData[Geslacht],Geslacht,tblData[Eerst/later],Eerst_later,tblData[Week],$B41)</f>
        <v>3570</v>
      </c>
      <c r="H41" s="13">
        <f ca="1">SUMIFS(INDIRECT("tblData["&amp;H$33&amp;"]"),tblData[Geslacht],Geslacht,tblData[Eerst/later],Eerst_later,tblData[Week],$B41)</f>
        <v>3850</v>
      </c>
      <c r="I41" s="13">
        <f ca="1">SUMIFS(INDIRECT("tblData["&amp;I$33&amp;"]"),tblData[Geslacht],Geslacht,tblData[Eerst/later],Eerst_later,tblData[Week],$B41)</f>
        <v>4200</v>
      </c>
      <c r="J41" s="13">
        <f ca="1">SUMIFS(INDIRECT("tblData["&amp;J$33&amp;"]"),tblData[Geslacht],Geslacht,tblData[Eerst/later],Eerst_later,tblData[Week],$B41)</f>
        <v>4300</v>
      </c>
      <c r="K41" s="22" t="e">
        <f t="shared" si="2"/>
        <v>#N/A</v>
      </c>
      <c r="L41" s="22" t="e">
        <f t="shared" si="3"/>
        <v>#N/A</v>
      </c>
      <c r="M41" s="22" t="str">
        <f t="shared" si="0"/>
        <v/>
      </c>
      <c r="N41" s="25">
        <f t="shared" si="1"/>
        <v>3000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Option Button 1">
              <controlPr defaultSize="0" autoFill="0" autoLine="0" autoPict="0">
                <anchor moveWithCells="1">
                  <from>
                    <xdr:col>1</xdr:col>
                    <xdr:colOff>670560</xdr:colOff>
                    <xdr:row>5</xdr:row>
                    <xdr:rowOff>175260</xdr:rowOff>
                  </from>
                  <to>
                    <xdr:col>2</xdr:col>
                    <xdr:colOff>449580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Option Button 2">
              <controlPr defaultSize="0" autoFill="0" autoLine="0" autoPict="0">
                <anchor moveWithCells="1">
                  <from>
                    <xdr:col>2</xdr:col>
                    <xdr:colOff>571500</xdr:colOff>
                    <xdr:row>5</xdr:row>
                    <xdr:rowOff>167640</xdr:rowOff>
                  </from>
                  <to>
                    <xdr:col>3</xdr:col>
                    <xdr:colOff>106680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Group Box 3">
              <controlPr defaultSize="0" autoFill="0" autoPict="0">
                <anchor moveWithCells="1">
                  <from>
                    <xdr:col>1</xdr:col>
                    <xdr:colOff>457200</xdr:colOff>
                    <xdr:row>5</xdr:row>
                    <xdr:rowOff>22860</xdr:rowOff>
                  </from>
                  <to>
                    <xdr:col>4</xdr:col>
                    <xdr:colOff>175260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Option Button 4">
              <controlPr defaultSize="0" autoFill="0" autoLine="0" autoPict="0">
                <anchor moveWithCells="1">
                  <from>
                    <xdr:col>5</xdr:col>
                    <xdr:colOff>106680</xdr:colOff>
                    <xdr:row>5</xdr:row>
                    <xdr:rowOff>160020</xdr:rowOff>
                  </from>
                  <to>
                    <xdr:col>6</xdr:col>
                    <xdr:colOff>464820</xdr:colOff>
                    <xdr:row>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>
                  <from>
                    <xdr:col>7</xdr:col>
                    <xdr:colOff>152400</xdr:colOff>
                    <xdr:row>5</xdr:row>
                    <xdr:rowOff>175260</xdr:rowOff>
                  </from>
                  <to>
                    <xdr:col>9</xdr:col>
                    <xdr:colOff>152400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Group Box 6">
              <controlPr defaultSize="0" autoFill="0" autoPict="0">
                <anchor moveWithCells="1">
                  <from>
                    <xdr:col>4</xdr:col>
                    <xdr:colOff>289560</xdr:colOff>
                    <xdr:row>5</xdr:row>
                    <xdr:rowOff>30480</xdr:rowOff>
                  </from>
                  <to>
                    <xdr:col>9</xdr:col>
                    <xdr:colOff>434340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12</vt:i4>
      </vt:variant>
    </vt:vector>
  </HeadingPairs>
  <TitlesOfParts>
    <vt:vector size="18" baseType="lpstr">
      <vt:lpstr>Voorblad</vt:lpstr>
      <vt:lpstr>Data</vt:lpstr>
      <vt:lpstr>Selectie</vt:lpstr>
      <vt:lpstr>Selectie2</vt:lpstr>
      <vt:lpstr>Selectie3</vt:lpstr>
      <vt:lpstr>Vergelijken</vt:lpstr>
      <vt:lpstr>Selectie2!Eerst_later</vt:lpstr>
      <vt:lpstr>Selectie3!Eerst_later</vt:lpstr>
      <vt:lpstr>Vergelijken!Eerst_later</vt:lpstr>
      <vt:lpstr>Eerst_later</vt:lpstr>
      <vt:lpstr>Selectie2!GebWeek</vt:lpstr>
      <vt:lpstr>Selectie3!GebWeek</vt:lpstr>
      <vt:lpstr>GebWeek</vt:lpstr>
      <vt:lpstr>Selectie2!Geslacht</vt:lpstr>
      <vt:lpstr>Selectie3!Geslacht</vt:lpstr>
      <vt:lpstr>Vergelijken!Geslacht</vt:lpstr>
      <vt:lpstr>Geslacht</vt:lpstr>
      <vt:lpstr>Naam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dcterms:created xsi:type="dcterms:W3CDTF">2020-10-05T18:32:35Z</dcterms:created>
  <dcterms:modified xsi:type="dcterms:W3CDTF">2020-10-08T13:02:12Z</dcterms:modified>
</cp:coreProperties>
</file>