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C8580C05-1B81-4C03-989D-E50473DD5F29}" xr6:coauthVersionLast="36" xr6:coauthVersionMax="36" xr10:uidLastSave="{00000000-0000-0000-0000-000000000000}"/>
  <bookViews>
    <workbookView xWindow="-105" yWindow="-105" windowWidth="23250" windowHeight="12570" xr2:uid="{AF873B12-035C-4ACA-937A-4B9B7BF1ACCF}"/>
  </bookViews>
  <sheets>
    <sheet name="Voorblad" sheetId="6" r:id="rId1"/>
    <sheet name="KK" sheetId="1" r:id="rId2"/>
    <sheet name="Heading" sheetId="2" r:id="rId3"/>
    <sheet name="Route" sheetId="3" r:id="rId4"/>
    <sheet name="grafRoute" sheetId="5" r:id="rId5"/>
  </sheets>
  <definedNames>
    <definedName name="a" localSheetId="3">Route!$C$13</definedName>
    <definedName name="a">Heading!$C$9</definedName>
    <definedName name="d" localSheetId="3">Route!#REF!</definedName>
    <definedName name="d">Heading!$C$2</definedName>
    <definedName name="Da" localSheetId="3">Route!#REF!</definedName>
    <definedName name="Da">Heading!$C$8</definedName>
    <definedName name="Va" localSheetId="3">Route!#REF!</definedName>
    <definedName name="Va">Heading!$C$3</definedName>
    <definedName name="Vg" localSheetId="3">Route!$C$14</definedName>
    <definedName name="Vg">Heading!$C$10</definedName>
    <definedName name="Vw" localSheetId="3">Route!#REF!</definedName>
    <definedName name="Vw">Heading!$C$5</definedName>
    <definedName name="w" localSheetId="3">Route!#REF!</definedName>
    <definedName name="w">Heading!$C$4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3" l="1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R5" i="3"/>
  <c r="I3" i="3"/>
  <c r="F4" i="1"/>
  <c r="F5" i="1"/>
  <c r="F6" i="1"/>
  <c r="F7" i="1"/>
  <c r="F3" i="1"/>
  <c r="E4" i="1"/>
  <c r="E5" i="1"/>
  <c r="E6" i="1"/>
  <c r="E7" i="1"/>
  <c r="E3" i="1"/>
  <c r="C15" i="2"/>
  <c r="L7" i="3" l="1"/>
  <c r="N7" i="3" s="1"/>
  <c r="L8" i="3"/>
  <c r="N8" i="3" s="1"/>
  <c r="L20" i="3" l="1"/>
  <c r="M20" i="3"/>
  <c r="L19" i="3"/>
  <c r="M19" i="3"/>
  <c r="L18" i="3"/>
  <c r="M18" i="3"/>
  <c r="N18" i="3" l="1"/>
  <c r="O18" i="3" s="1"/>
  <c r="P18" i="3" s="1"/>
  <c r="N19" i="3"/>
  <c r="O19" i="3" s="1"/>
  <c r="P19" i="3" s="1"/>
  <c r="N20" i="3"/>
  <c r="R20" i="3" s="1"/>
  <c r="R19" i="3"/>
  <c r="R18" i="3"/>
  <c r="M6" i="3"/>
  <c r="M7" i="3"/>
  <c r="M8" i="3"/>
  <c r="M9" i="3"/>
  <c r="M10" i="3"/>
  <c r="M11" i="3"/>
  <c r="M12" i="3"/>
  <c r="M13" i="3"/>
  <c r="M14" i="3"/>
  <c r="M15" i="3"/>
  <c r="M16" i="3"/>
  <c r="M17" i="3"/>
  <c r="L17" i="3"/>
  <c r="L16" i="3"/>
  <c r="O20" i="3" l="1"/>
  <c r="P20" i="3" s="1"/>
  <c r="N16" i="3"/>
  <c r="O16" i="3" s="1"/>
  <c r="P16" i="3" s="1"/>
  <c r="N17" i="3"/>
  <c r="R17" i="3" s="1"/>
  <c r="S20" i="3"/>
  <c r="T20" i="3"/>
  <c r="T18" i="3"/>
  <c r="S18" i="3"/>
  <c r="S19" i="3"/>
  <c r="T19" i="3"/>
  <c r="O17" i="3"/>
  <c r="P17" i="3" s="1"/>
  <c r="R16" i="3"/>
  <c r="K21" i="3"/>
  <c r="L6" i="3"/>
  <c r="N6" i="3" s="1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T17" i="3" l="1"/>
  <c r="S17" i="3"/>
  <c r="T16" i="3"/>
  <c r="S16" i="3"/>
  <c r="O11" i="3"/>
  <c r="P11" i="3" s="1"/>
  <c r="R11" i="3"/>
  <c r="O12" i="3"/>
  <c r="P12" i="3" s="1"/>
  <c r="R12" i="3"/>
  <c r="O10" i="3"/>
  <c r="P10" i="3" s="1"/>
  <c r="R10" i="3"/>
  <c r="O9" i="3"/>
  <c r="P9" i="3" s="1"/>
  <c r="R9" i="3"/>
  <c r="O8" i="3"/>
  <c r="R8" i="3"/>
  <c r="O15" i="3"/>
  <c r="P15" i="3" s="1"/>
  <c r="R15" i="3"/>
  <c r="O7" i="3"/>
  <c r="P7" i="3" s="1"/>
  <c r="R7" i="3"/>
  <c r="O14" i="3"/>
  <c r="P14" i="3" s="1"/>
  <c r="R14" i="3"/>
  <c r="O6" i="3"/>
  <c r="P6" i="3" s="1"/>
  <c r="R6" i="3"/>
  <c r="O13" i="3"/>
  <c r="P13" i="3" s="1"/>
  <c r="R13" i="3"/>
  <c r="C8" i="2"/>
  <c r="C16" i="2" l="1"/>
  <c r="C17" i="2"/>
  <c r="S15" i="3"/>
  <c r="T15" i="3"/>
  <c r="S14" i="3"/>
  <c r="T14" i="3"/>
  <c r="S6" i="3"/>
  <c r="S7" i="3" s="1"/>
  <c r="S8" i="3" s="1"/>
  <c r="S9" i="3" s="1"/>
  <c r="S10" i="3" s="1"/>
  <c r="S11" i="3" s="1"/>
  <c r="S12" i="3" s="1"/>
  <c r="S13" i="3" s="1"/>
  <c r="T6" i="3"/>
  <c r="T7" i="3" s="1"/>
  <c r="T8" i="3" s="1"/>
  <c r="T9" i="3" s="1"/>
  <c r="T10" i="3" s="1"/>
  <c r="T11" i="3" s="1"/>
  <c r="T12" i="3" s="1"/>
  <c r="T13" i="3" s="1"/>
  <c r="P8" i="3"/>
  <c r="P21" i="3" s="1"/>
  <c r="O21" i="3"/>
  <c r="D9" i="2"/>
  <c r="C9" i="2"/>
  <c r="D8" i="2"/>
  <c r="C10" i="2"/>
  <c r="D7" i="1"/>
  <c r="D6" i="1"/>
  <c r="D5" i="1"/>
  <c r="D4" i="1"/>
  <c r="D3" i="1"/>
  <c r="T24" i="3" l="1"/>
  <c r="D10" i="2"/>
</calcChain>
</file>

<file path=xl/sharedStrings.xml><?xml version="1.0" encoding="utf-8"?>
<sst xmlns="http://schemas.openxmlformats.org/spreadsheetml/2006/main" count="74" uniqueCount="58">
  <si>
    <t>Kaartkoers</t>
  </si>
  <si>
    <t>Windcorrectie</t>
  </si>
  <si>
    <t>Kompaskoers</t>
  </si>
  <si>
    <t>https://e6bx.com/e6b/</t>
  </si>
  <si>
    <t>http://mye6b.com/e6b.html#_windh</t>
  </si>
  <si>
    <t>https://en.wikipedia.org/wiki/E6B</t>
  </si>
  <si>
    <t>graden</t>
  </si>
  <si>
    <t>knopen</t>
  </si>
  <si>
    <t>Desired course      d</t>
  </si>
  <si>
    <r>
      <t>Airspeed     V</t>
    </r>
    <r>
      <rPr>
        <vertAlign val="subscript"/>
        <sz val="11"/>
        <color theme="1"/>
        <rFont val="Calibri"/>
        <family val="2"/>
        <scheme val="minor"/>
      </rPr>
      <t>a</t>
    </r>
  </si>
  <si>
    <t>Wind direction     w</t>
  </si>
  <si>
    <r>
      <t>Wind speed     V</t>
    </r>
    <r>
      <rPr>
        <vertAlign val="subscript"/>
        <sz val="11"/>
        <color theme="1"/>
        <rFont val="Calibri"/>
        <family val="2"/>
        <scheme val="minor"/>
      </rPr>
      <t>w</t>
    </r>
  </si>
  <si>
    <t>WCA     ∆a</t>
  </si>
  <si>
    <t>Heading     a</t>
  </si>
  <si>
    <r>
      <t>Ground speed     V</t>
    </r>
    <r>
      <rPr>
        <vertAlign val="subscript"/>
        <sz val="11"/>
        <color theme="1"/>
        <rFont val="Calibri"/>
        <family val="2"/>
        <scheme val="minor"/>
      </rPr>
      <t>g</t>
    </r>
  </si>
  <si>
    <t>Stap</t>
  </si>
  <si>
    <t>Afstand</t>
  </si>
  <si>
    <t>d</t>
  </si>
  <si>
    <t>w</t>
  </si>
  <si>
    <t>Heading</t>
  </si>
  <si>
    <r>
      <t>V</t>
    </r>
    <r>
      <rPr>
        <vertAlign val="subscript"/>
        <sz val="11"/>
        <color theme="1"/>
        <rFont val="Calibri"/>
        <family val="2"/>
        <scheme val="minor"/>
      </rPr>
      <t>a</t>
    </r>
  </si>
  <si>
    <r>
      <t>V</t>
    </r>
    <r>
      <rPr>
        <vertAlign val="subscript"/>
        <sz val="11"/>
        <color theme="1"/>
        <rFont val="Calibri"/>
        <family val="2"/>
        <scheme val="minor"/>
      </rPr>
      <t>w</t>
    </r>
  </si>
  <si>
    <t>Tijd</t>
  </si>
  <si>
    <r>
      <t>V</t>
    </r>
    <r>
      <rPr>
        <vertAlign val="subscript"/>
        <sz val="11"/>
        <color theme="1"/>
        <rFont val="Calibri"/>
        <family val="2"/>
        <scheme val="minor"/>
      </rPr>
      <t>g</t>
    </r>
  </si>
  <si>
    <t>∆a</t>
  </si>
  <si>
    <t>Totaal</t>
  </si>
  <si>
    <t>Airspeed</t>
  </si>
  <si>
    <t>Desired course</t>
  </si>
  <si>
    <t>Wind direction</t>
  </si>
  <si>
    <t>Wind speed</t>
  </si>
  <si>
    <t>WCA</t>
  </si>
  <si>
    <t>a</t>
  </si>
  <si>
    <t>Ground speed</t>
  </si>
  <si>
    <t>Wind Correction Angle</t>
  </si>
  <si>
    <t>Legenda</t>
  </si>
  <si>
    <t>x</t>
  </si>
  <si>
    <t>y</t>
  </si>
  <si>
    <t>∆a2</t>
  </si>
  <si>
    <t>A28-A50</t>
  </si>
  <si>
    <t>N50-IJssel</t>
  </si>
  <si>
    <t>IJssel curve</t>
  </si>
  <si>
    <t>IJssel</t>
  </si>
  <si>
    <t>Stavoren</t>
  </si>
  <si>
    <t>Sluis DenOever</t>
  </si>
  <si>
    <t>EHTX-A</t>
  </si>
  <si>
    <t>EHTX-B</t>
  </si>
  <si>
    <t>KK2</t>
  </si>
  <si>
    <t>KK3</t>
  </si>
  <si>
    <t>Pythagoras:</t>
  </si>
  <si>
    <t xml:space="preserve">  </t>
  </si>
  <si>
    <t>Van:</t>
  </si>
  <si>
    <t>Naar:</t>
  </si>
  <si>
    <t>Teuge</t>
  </si>
  <si>
    <t>Texel EHTX</t>
  </si>
  <si>
    <t>Label</t>
  </si>
  <si>
    <t>© 2021, G-Info/G. Verbruggen</t>
  </si>
  <si>
    <t>www.ginfo.nl</t>
  </si>
  <si>
    <t>Voorbeeld materiaal -  Op koers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</si>
</sst>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00"/>
    <numFmt numFmtId="165" formatCode="\+00;\-00;00"/>
    <numFmt numFmtId="166" formatCode="#"/>
    <numFmt numFmtId="167" formatCode="h:mm;@"/>
    <numFmt numFmtId="168" formatCode="0;\-0;\-"/>
    <numFmt numFmtId="169" formatCode="_ * #,##0.0_ ;_ * \-#,##0.0_ ;_ * &quot;-&quot;??_ ;_ @_ "/>
  </numFmts>
  <fonts count="1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0" xfId="0" applyAlignment="1">
      <alignment horizontal="right"/>
    </xf>
    <xf numFmtId="165" fontId="0" fillId="2" borderId="7" xfId="0" applyNumberFormat="1" applyFill="1" applyBorder="1"/>
    <xf numFmtId="164" fontId="0" fillId="2" borderId="8" xfId="0" applyNumberFormat="1" applyFill="1" applyBorder="1"/>
    <xf numFmtId="0" fontId="0" fillId="0" borderId="0" xfId="0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10" xfId="0" applyBorder="1" applyAlignment="1">
      <alignment horizontal="left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/>
    <xf numFmtId="168" fontId="0" fillId="0" borderId="0" xfId="0" applyNumberFormat="1"/>
    <xf numFmtId="169" fontId="0" fillId="0" borderId="0" xfId="1" applyNumberFormat="1" applyFont="1"/>
    <xf numFmtId="164" fontId="0" fillId="0" borderId="3" xfId="0" applyNumberFormat="1" applyBorder="1"/>
    <xf numFmtId="165" fontId="0" fillId="0" borderId="0" xfId="0" applyNumberFormat="1" applyBorder="1"/>
    <xf numFmtId="164" fontId="0" fillId="0" borderId="5" xfId="0" applyNumberFormat="1" applyBorder="1"/>
    <xf numFmtId="165" fontId="0" fillId="0" borderId="10" xfId="0" applyNumberFormat="1" applyBorder="1"/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6" fillId="0" borderId="18" xfId="0" applyFont="1" applyBorder="1" applyAlignment="1">
      <alignment horizontal="right"/>
    </xf>
    <xf numFmtId="164" fontId="0" fillId="0" borderId="19" xfId="0" applyNumberFormat="1" applyBorder="1"/>
    <xf numFmtId="164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0" xfId="0" applyFill="1" applyBorder="1"/>
    <xf numFmtId="0" fontId="6" fillId="0" borderId="1" xfId="0" applyFont="1" applyBorder="1"/>
    <xf numFmtId="0" fontId="6" fillId="0" borderId="2" xfId="0" applyFont="1" applyBorder="1"/>
    <xf numFmtId="0" fontId="7" fillId="4" borderId="0" xfId="2" applyFill="1"/>
    <xf numFmtId="0" fontId="7" fillId="4" borderId="0" xfId="2" applyFill="1" applyBorder="1"/>
    <xf numFmtId="0" fontId="7" fillId="0" borderId="0" xfId="2"/>
    <xf numFmtId="0" fontId="7" fillId="5" borderId="0" xfId="2" applyFill="1"/>
    <xf numFmtId="0" fontId="7" fillId="5" borderId="0" xfId="2" applyFill="1" applyBorder="1"/>
    <xf numFmtId="0" fontId="7" fillId="5" borderId="23" xfId="2" applyFill="1" applyBorder="1"/>
    <xf numFmtId="0" fontId="7" fillId="5" borderId="24" xfId="2" applyFill="1" applyBorder="1"/>
    <xf numFmtId="0" fontId="7" fillId="5" borderId="25" xfId="2" applyFill="1" applyBorder="1"/>
    <xf numFmtId="0" fontId="7" fillId="5" borderId="26" xfId="2" applyFill="1" applyBorder="1"/>
    <xf numFmtId="0" fontId="8" fillId="5" borderId="0" xfId="2" applyFont="1" applyFill="1" applyBorder="1"/>
    <xf numFmtId="0" fontId="7" fillId="5" borderId="27" xfId="2" applyFill="1" applyBorder="1"/>
    <xf numFmtId="0" fontId="9" fillId="5" borderId="0" xfId="2" applyFont="1" applyFill="1" applyBorder="1" applyAlignment="1">
      <alignment horizontal="right"/>
    </xf>
    <xf numFmtId="0" fontId="10" fillId="5" borderId="0" xfId="2" applyFont="1" applyFill="1" applyBorder="1" applyAlignment="1">
      <alignment horizontal="right"/>
    </xf>
    <xf numFmtId="0" fontId="11" fillId="5" borderId="0" xfId="2" applyFont="1" applyFill="1" applyBorder="1" applyAlignment="1">
      <alignment horizontal="right"/>
    </xf>
    <xf numFmtId="0" fontId="12" fillId="5" borderId="0" xfId="3" applyFill="1" applyBorder="1" applyAlignment="1" applyProtection="1">
      <alignment horizontal="right"/>
      <protection locked="0"/>
    </xf>
    <xf numFmtId="0" fontId="12" fillId="5" borderId="0" xfId="3" applyFill="1" applyAlignment="1" applyProtection="1">
      <alignment horizontal="right"/>
      <protection locked="0"/>
    </xf>
    <xf numFmtId="0" fontId="7" fillId="5" borderId="28" xfId="2" applyFill="1" applyBorder="1"/>
    <xf numFmtId="0" fontId="7" fillId="5" borderId="29" xfId="2" applyFill="1" applyBorder="1"/>
    <xf numFmtId="0" fontId="7" fillId="5" borderId="30" xfId="2" applyFill="1" applyBorder="1"/>
    <xf numFmtId="0" fontId="7" fillId="0" borderId="0" xfId="2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4">
    <cellStyle name="Hyperlink 2" xfId="3" xr:uid="{86D40C3B-4545-44CF-8061-3E3EA73CDA1F}"/>
    <cellStyle name="Komma" xfId="1" builtinId="3"/>
    <cellStyle name="Normal 2" xfId="2" xr:uid="{8D8960A7-175E-4C72-B536-D42C6D6C8658}"/>
    <cellStyle name="Standaard" xfId="0" builtinId="0"/>
  </cellStyles>
  <dxfs count="12">
    <dxf>
      <numFmt numFmtId="0" formatCode="General"/>
    </dxf>
    <dxf>
      <numFmt numFmtId="168" formatCode="0;\-0;\-"/>
    </dxf>
    <dxf>
      <numFmt numFmtId="168" formatCode="0;\-0;\-"/>
    </dxf>
    <dxf>
      <alignment horizontal="center" vertical="bottom" textRotation="0" wrapText="0" indent="0" justifyLastLine="0" shrinkToFit="0" readingOrder="0"/>
    </dxf>
    <dxf>
      <numFmt numFmtId="167" formatCode="h:mm;@"/>
    </dxf>
    <dxf>
      <numFmt numFmtId="167" formatCode="h:mm;@"/>
    </dxf>
    <dxf>
      <numFmt numFmtId="166" formatCode="#"/>
    </dxf>
    <dxf>
      <numFmt numFmtId="166" formatCode="#"/>
    </dxf>
    <dxf>
      <numFmt numFmtId="164" formatCode="000"/>
    </dxf>
    <dxf>
      <numFmt numFmtId="165" formatCode="\+00;\-00;00"/>
    </dxf>
    <dxf>
      <numFmt numFmtId="165" formatCode="\+00;\-00;0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Route!$I$3</c:f>
          <c:strCache>
            <c:ptCount val="1"/>
            <c:pt idx="0">
              <c:v>Teuge - Texel EHTX</c:v>
            </c:pt>
          </c:strCache>
        </c:strRef>
      </c:tx>
      <c:layout>
        <c:manualLayout>
          <c:xMode val="edge"/>
          <c:yMode val="edge"/>
          <c:x val="0.56998600174978131"/>
          <c:y val="3.7499999999999999E-2"/>
        </c:manualLayout>
      </c:layout>
      <c:overlay val="0"/>
      <c:spPr>
        <a:solidFill>
          <a:schemeClr val="bg1">
            <a:lumMod val="85000"/>
          </a:schemeClr>
        </a:solidFill>
        <a:ln w="38100">
          <a:solidFill>
            <a:schemeClr val="accent6">
              <a:lumMod val="60000"/>
              <a:lumOff val="40000"/>
            </a:schemeClr>
          </a:solidFill>
        </a:ln>
        <a:effectLst>
          <a:outerShdw blurRad="50800" dist="76200" dir="2700000" algn="tl" rotWithShape="0">
            <a:schemeClr val="accent6">
              <a:lumMod val="75000"/>
              <a:alpha val="4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5043784318422732"/>
          <c:y val="2.2958172904129989E-2"/>
          <c:w val="0.69963954337790601"/>
          <c:h val="0.95408365419174002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FAED0A7-28F4-42EB-9974-886B559B43E6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AD-415E-857B-7F122DE734D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DCF1536-E40A-4317-A17F-B382D0651F4B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A87-41F5-9B11-41ADD9A3C1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68140D4-26CE-427D-9B7E-F791CFE7A684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87-41F5-9B11-41ADD9A3C1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F6C935-761A-436B-A48D-AF9D7B5370C1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87-41F5-9B11-41ADD9A3C1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936D87-748C-4841-9563-555F8A5EEA0F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87-41F5-9B11-41ADD9A3C1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1F50E6-90AC-4EDC-A04C-4935CFE87E5F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87-41F5-9B11-41ADD9A3C1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F627386-87CF-4BB5-B650-234E30DE65F9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A87-41F5-9B11-41ADD9A3C1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D825C7A-C978-4D59-9E3A-513F79834536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A87-41F5-9B11-41ADD9A3C1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F11CD9A-00D6-440C-AA18-27ACD56D5FC2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87-41F5-9B11-41ADD9A3C1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D7A80C1-3B48-4613-975C-E5FAE5A3C4E0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A87-41F5-9B11-41ADD9A3C1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D19247-9BE4-4880-BB77-8E1C0C46CFDF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A87-41F5-9B11-41ADD9A3C1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3661EEA-7FA2-4F19-B7AC-C98D2FBF5419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A87-41F5-9B11-41ADD9A3C1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8F0B152-8CF1-4D9F-9485-EEC8DFAD70CD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A87-41F5-9B11-41ADD9A3C1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756A6EC-8DA9-4A0F-9191-197584FFE0EE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A87-41F5-9B11-41ADD9A3C1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9307048-4FBC-4EE4-83E9-E4BC1C55CC14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A87-41F5-9B11-41ADD9A3C1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31D2526-314B-4429-9B8A-16BEFE5E4679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A87-41F5-9B11-41ADD9A3C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Route!$S$5:$S$20</c:f>
              <c:numCache>
                <c:formatCode>0;\-0;\-</c:formatCode>
                <c:ptCount val="16"/>
                <c:pt idx="0">
                  <c:v>0</c:v>
                </c:pt>
                <c:pt idx="1">
                  <c:v>1.6362330167295775</c:v>
                </c:pt>
                <c:pt idx="2">
                  <c:v>0.3298547804913714</c:v>
                </c:pt>
                <c:pt idx="3">
                  <c:v>-1.6371699622877853</c:v>
                </c:pt>
                <c:pt idx="4">
                  <c:v>-7.4354455680174762</c:v>
                </c:pt>
                <c:pt idx="5">
                  <c:v>-25.820221878867713</c:v>
                </c:pt>
                <c:pt idx="6">
                  <c:v>-37.411331794336533</c:v>
                </c:pt>
                <c:pt idx="7">
                  <c:v>-42.057300928780009</c:v>
                </c:pt>
                <c:pt idx="8">
                  <c:v>-44.155595024713833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xVal>
          <c:yVal>
            <c:numRef>
              <c:f>Route!$T$5:$T$20</c:f>
              <c:numCache>
                <c:formatCode>0;\-0;\-</c:formatCode>
                <c:ptCount val="16"/>
                <c:pt idx="0">
                  <c:v>0</c:v>
                </c:pt>
                <c:pt idx="1">
                  <c:v>2.0205794997881243</c:v>
                </c:pt>
                <c:pt idx="2">
                  <c:v>7.2601764216785059</c:v>
                </c:pt>
                <c:pt idx="3">
                  <c:v>14.601212701475426</c:v>
                </c:pt>
                <c:pt idx="4">
                  <c:v>20.399488307205115</c:v>
                </c:pt>
                <c:pt idx="5">
                  <c:v>38.784264618055346</c:v>
                </c:pt>
                <c:pt idx="6">
                  <c:v>41.890093159285598</c:v>
                </c:pt>
                <c:pt idx="7">
                  <c:v>48.525224718026429</c:v>
                </c:pt>
                <c:pt idx="8">
                  <c:v>50.224389773860992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Route!$R$5:$R$20</c15:f>
                <c15:dlblRangeCache>
                  <c:ptCount val="16"/>
                  <c:pt idx="0">
                    <c:v>Teuge</c:v>
                  </c:pt>
                  <c:pt idx="1">
                    <c:v>IJssel</c:v>
                  </c:pt>
                  <c:pt idx="2">
                    <c:v>IJssel curve</c:v>
                  </c:pt>
                  <c:pt idx="3">
                    <c:v>A28-A50</c:v>
                  </c:pt>
                  <c:pt idx="4">
                    <c:v>N50-IJssel</c:v>
                  </c:pt>
                  <c:pt idx="5">
                    <c:v>Stavoren</c:v>
                  </c:pt>
                  <c:pt idx="6">
                    <c:v>Sluis DenOever</c:v>
                  </c:pt>
                  <c:pt idx="7">
                    <c:v>EHTX-A</c:v>
                  </c:pt>
                  <c:pt idx="8">
                    <c:v>EHTX-B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D4A1-41F8-82E3-9167D9A6B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099344"/>
        <c:axId val="1565521456"/>
      </c:scatterChart>
      <c:valAx>
        <c:axId val="149609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\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65521456"/>
        <c:crosses val="autoZero"/>
        <c:crossBetween val="midCat"/>
      </c:valAx>
      <c:valAx>
        <c:axId val="15655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\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96099344"/>
        <c:crosses val="autoZero"/>
        <c:crossBetween val="midCat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38100" cap="flat" cmpd="sng" algn="ctr">
      <a:solidFill>
        <a:schemeClr val="tx1"/>
      </a:solidFill>
      <a:round/>
    </a:ln>
    <a:effectLst>
      <a:outerShdw blurRad="50800" dist="1524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Route!$I$3</c:f>
          <c:strCache>
            <c:ptCount val="1"/>
            <c:pt idx="0">
              <c:v>Teuge - Texel EHTX</c:v>
            </c:pt>
          </c:strCache>
        </c:strRef>
      </c:tx>
      <c:layout>
        <c:manualLayout>
          <c:xMode val="edge"/>
          <c:yMode val="edge"/>
          <c:x val="0.75919710789878847"/>
          <c:y val="5.0146078422017418E-2"/>
        </c:manualLayout>
      </c:layout>
      <c:overlay val="0"/>
      <c:spPr>
        <a:solidFill>
          <a:schemeClr val="bg1">
            <a:lumMod val="85000"/>
          </a:schemeClr>
        </a:solidFill>
        <a:ln w="38100">
          <a:solidFill>
            <a:schemeClr val="accent6">
              <a:lumMod val="60000"/>
              <a:lumOff val="40000"/>
            </a:schemeClr>
          </a:solidFill>
        </a:ln>
        <a:effectLst>
          <a:outerShdw blurRad="50800" dist="76200" dir="2700000" algn="tl" rotWithShape="0">
            <a:schemeClr val="accent6">
              <a:lumMod val="75000"/>
              <a:alpha val="4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5043784318422732"/>
          <c:y val="2.2958172904129989E-2"/>
          <c:w val="0.69963954337790601"/>
          <c:h val="0.954083654191740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Route!$S$5:$S$20</c:f>
              <c:numCache>
                <c:formatCode>0;\-0;\-</c:formatCode>
                <c:ptCount val="16"/>
                <c:pt idx="0">
                  <c:v>0</c:v>
                </c:pt>
                <c:pt idx="1">
                  <c:v>1.6362330167295775</c:v>
                </c:pt>
                <c:pt idx="2">
                  <c:v>0.3298547804913714</c:v>
                </c:pt>
                <c:pt idx="3">
                  <c:v>-1.6371699622877853</c:v>
                </c:pt>
                <c:pt idx="4">
                  <c:v>-7.4354455680174762</c:v>
                </c:pt>
                <c:pt idx="5">
                  <c:v>-25.820221878867713</c:v>
                </c:pt>
                <c:pt idx="6">
                  <c:v>-37.411331794336533</c:v>
                </c:pt>
                <c:pt idx="7">
                  <c:v>-42.057300928780009</c:v>
                </c:pt>
                <c:pt idx="8">
                  <c:v>-44.155595024713833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xVal>
          <c:yVal>
            <c:numRef>
              <c:f>Route!$T$5:$T$20</c:f>
              <c:numCache>
                <c:formatCode>0;\-0;\-</c:formatCode>
                <c:ptCount val="16"/>
                <c:pt idx="0">
                  <c:v>0</c:v>
                </c:pt>
                <c:pt idx="1">
                  <c:v>2.0205794997881243</c:v>
                </c:pt>
                <c:pt idx="2">
                  <c:v>7.2601764216785059</c:v>
                </c:pt>
                <c:pt idx="3">
                  <c:v>14.601212701475426</c:v>
                </c:pt>
                <c:pt idx="4">
                  <c:v>20.399488307205115</c:v>
                </c:pt>
                <c:pt idx="5">
                  <c:v>38.784264618055346</c:v>
                </c:pt>
                <c:pt idx="6">
                  <c:v>41.890093159285598</c:v>
                </c:pt>
                <c:pt idx="7">
                  <c:v>48.525224718026429</c:v>
                </c:pt>
                <c:pt idx="8">
                  <c:v>50.224389773860992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F21-48A6-84C5-3E396EB09787}"/>
            </c:ext>
          </c:extLst>
        </c:ser>
        <c:ser>
          <c:idx val="2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Route!$S$5:$S$20</c:f>
              <c:numCache>
                <c:formatCode>0;\-0;\-</c:formatCode>
                <c:ptCount val="16"/>
                <c:pt idx="0">
                  <c:v>0</c:v>
                </c:pt>
                <c:pt idx="1">
                  <c:v>1.6362330167295775</c:v>
                </c:pt>
                <c:pt idx="2">
                  <c:v>0.3298547804913714</c:v>
                </c:pt>
                <c:pt idx="3">
                  <c:v>-1.6371699622877853</c:v>
                </c:pt>
                <c:pt idx="4">
                  <c:v>-7.4354455680174762</c:v>
                </c:pt>
                <c:pt idx="5">
                  <c:v>-25.820221878867713</c:v>
                </c:pt>
                <c:pt idx="6">
                  <c:v>-37.411331794336533</c:v>
                </c:pt>
                <c:pt idx="7">
                  <c:v>-42.057300928780009</c:v>
                </c:pt>
                <c:pt idx="8">
                  <c:v>-44.155595024713833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xVal>
          <c:yVal>
            <c:numRef>
              <c:f>Route!$T$5:$T$20</c:f>
              <c:numCache>
                <c:formatCode>0;\-0;\-</c:formatCode>
                <c:ptCount val="16"/>
                <c:pt idx="0">
                  <c:v>0</c:v>
                </c:pt>
                <c:pt idx="1">
                  <c:v>2.0205794997881243</c:v>
                </c:pt>
                <c:pt idx="2">
                  <c:v>7.2601764216785059</c:v>
                </c:pt>
                <c:pt idx="3">
                  <c:v>14.601212701475426</c:v>
                </c:pt>
                <c:pt idx="4">
                  <c:v>20.399488307205115</c:v>
                </c:pt>
                <c:pt idx="5">
                  <c:v>38.784264618055346</c:v>
                </c:pt>
                <c:pt idx="6">
                  <c:v>41.890093159285598</c:v>
                </c:pt>
                <c:pt idx="7">
                  <c:v>48.525224718026429</c:v>
                </c:pt>
                <c:pt idx="8">
                  <c:v>50.224389773860992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F21-48A6-84C5-3E396EB09787}"/>
            </c:ext>
          </c:extLst>
        </c:ser>
        <c:ser>
          <c:idx val="1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FC9CEAC-9343-4A2D-84B9-76267D32C9E3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F21-48A6-84C5-3E396EB0978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0FBBF4-BD01-4278-9E09-377AB39EF3BD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F21-48A6-84C5-3E396EB0978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C8A2F5E-E1EE-4BDB-82AB-9AE21F97BE20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F21-48A6-84C5-3E396EB097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403698-610D-4F85-ABF6-365B27D91ABD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F21-48A6-84C5-3E396EB0978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60C98DE-522E-4CD1-B36C-B3C1A6F5D145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F21-48A6-84C5-3E396EB0978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A7E5DB1-46E2-41A8-B3D0-7A8EBFBE79C6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F21-48A6-84C5-3E396EB09787}"/>
                </c:ext>
              </c:extLst>
            </c:dLbl>
            <c:dLbl>
              <c:idx val="6"/>
              <c:layout>
                <c:manualLayout>
                  <c:x val="3.9606481698052358E-2"/>
                  <c:y val="-3.9698978750763829E-2"/>
                </c:manualLayout>
              </c:layout>
              <c:tx>
                <c:rich>
                  <a:bodyPr/>
                  <a:lstStyle/>
                  <a:p>
                    <a:fld id="{A12C6BF1-DC54-49A1-BC44-DEA1A474CF6D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F21-48A6-84C5-3E396EB0978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6360BD8-B97E-404A-BFAB-B66399F8CAF4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F21-48A6-84C5-3E396EB0978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F7EB394-74ED-419A-9A0C-F5E5045A6589}" type="CELLRANGE">
                      <a:rPr lang="nl-NL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F21-48A6-84C5-3E396EB0978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D7A80C1-3B48-4613-975C-E5FAE5A3C4E0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F21-48A6-84C5-3E396EB0978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D19247-9BE4-4880-BB77-8E1C0C46CFDF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F21-48A6-84C5-3E396EB0978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3661EEA-7FA2-4F19-B7AC-C98D2FBF5419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F21-48A6-84C5-3E396EB0978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8F0B152-8CF1-4D9F-9485-EEC8DFAD70CD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F21-48A6-84C5-3E396EB0978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756A6EC-8DA9-4A0F-9191-197584FFE0EE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F21-48A6-84C5-3E396EB0978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9307048-4FBC-4EE4-83E9-E4BC1C55CC14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F21-48A6-84C5-3E396EB0978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31D2526-314B-4429-9B8A-16BEFE5E4679}" type="CELLRANGE">
                      <a:rPr lang="en-US"/>
                      <a:pPr/>
                      <a:t>[CELLRANGE]</a:t>
                    </a:fld>
                    <a:endParaRPr lang="nl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F21-48A6-84C5-3E396EB09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Route!$S$5:$S$20</c:f>
              <c:numCache>
                <c:formatCode>0;\-0;\-</c:formatCode>
                <c:ptCount val="16"/>
                <c:pt idx="0">
                  <c:v>0</c:v>
                </c:pt>
                <c:pt idx="1">
                  <c:v>1.6362330167295775</c:v>
                </c:pt>
                <c:pt idx="2">
                  <c:v>0.3298547804913714</c:v>
                </c:pt>
                <c:pt idx="3">
                  <c:v>-1.6371699622877853</c:v>
                </c:pt>
                <c:pt idx="4">
                  <c:v>-7.4354455680174762</c:v>
                </c:pt>
                <c:pt idx="5">
                  <c:v>-25.820221878867713</c:v>
                </c:pt>
                <c:pt idx="6">
                  <c:v>-37.411331794336533</c:v>
                </c:pt>
                <c:pt idx="7">
                  <c:v>-42.057300928780009</c:v>
                </c:pt>
                <c:pt idx="8">
                  <c:v>-44.155595024713833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xVal>
          <c:yVal>
            <c:numRef>
              <c:f>Route!$T$5:$T$20</c:f>
              <c:numCache>
                <c:formatCode>0;\-0;\-</c:formatCode>
                <c:ptCount val="16"/>
                <c:pt idx="0">
                  <c:v>0</c:v>
                </c:pt>
                <c:pt idx="1">
                  <c:v>2.0205794997881243</c:v>
                </c:pt>
                <c:pt idx="2">
                  <c:v>7.2601764216785059</c:v>
                </c:pt>
                <c:pt idx="3">
                  <c:v>14.601212701475426</c:v>
                </c:pt>
                <c:pt idx="4">
                  <c:v>20.399488307205115</c:v>
                </c:pt>
                <c:pt idx="5">
                  <c:v>38.784264618055346</c:v>
                </c:pt>
                <c:pt idx="6">
                  <c:v>41.890093159285598</c:v>
                </c:pt>
                <c:pt idx="7">
                  <c:v>48.525224718026429</c:v>
                </c:pt>
                <c:pt idx="8">
                  <c:v>50.224389773860992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Route!$U$5:$U$20</c15:f>
                <c15:dlblRangeCache>
                  <c:ptCount val="16"/>
                  <c:pt idx="1">
                    <c:v>IJssel/037</c:v>
                  </c:pt>
                  <c:pt idx="2">
                    <c:v>IJssel curve/348</c:v>
                  </c:pt>
                  <c:pt idx="3">
                    <c:v>A28-A50/346</c:v>
                  </c:pt>
                  <c:pt idx="4">
                    <c:v>N50-IJssel/317</c:v>
                  </c:pt>
                  <c:pt idx="5">
                    <c:v>Stavoren/325</c:v>
                  </c:pt>
                  <c:pt idx="6">
                    <c:v>Sluis DenOever/287</c:v>
                  </c:pt>
                  <c:pt idx="7">
                    <c:v>EHTX-A/326</c:v>
                  </c:pt>
                  <c:pt idx="8">
                    <c:v>EHTX-B/314</c:v>
                  </c:pt>
                  <c:pt idx="9">
                    <c:v>#N/B</c:v>
                  </c:pt>
                  <c:pt idx="10">
                    <c:v>#N/B</c:v>
                  </c:pt>
                  <c:pt idx="11">
                    <c:v>#N/B</c:v>
                  </c:pt>
                  <c:pt idx="12">
                    <c:v>#N/B</c:v>
                  </c:pt>
                  <c:pt idx="13">
                    <c:v>#N/B</c:v>
                  </c:pt>
                  <c:pt idx="14">
                    <c:v>#N/B</c:v>
                  </c:pt>
                  <c:pt idx="15">
                    <c:v>#N/B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5F21-48A6-84C5-3E396EB09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099344"/>
        <c:axId val="1565521456"/>
      </c:scatterChart>
      <c:valAx>
        <c:axId val="149609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\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65521456"/>
        <c:crosses val="autoZero"/>
        <c:crossBetween val="midCat"/>
      </c:valAx>
      <c:valAx>
        <c:axId val="15655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\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96099344"/>
        <c:crosses val="autoZero"/>
        <c:crossBetween val="midCat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38100" cap="flat" cmpd="sng" algn="ctr">
      <a:solidFill>
        <a:schemeClr val="tx1"/>
      </a:solidFill>
      <a:round/>
    </a:ln>
    <a:effectLst>
      <a:outerShdw blurRad="50800" dist="1524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B47934-1098-4E29-ACAE-EB2885107679}">
  <sheetPr codeName="Grafiek4"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EF793B24-7EFC-460B-B8D4-3553A3B86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2026920</xdr:colOff>
      <xdr:row>19</xdr:row>
      <xdr:rowOff>175260</xdr:rowOff>
    </xdr:from>
    <xdr:to>
      <xdr:col>5</xdr:col>
      <xdr:colOff>563880</xdr:colOff>
      <xdr:row>25</xdr:row>
      <xdr:rowOff>45720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1BFA56F3-11E7-4765-9F45-8E1996340D9A}"/>
            </a:ext>
          </a:extLst>
        </xdr:cNvPr>
        <xdr:cNvCxnSpPr/>
      </xdr:nvCxnSpPr>
      <xdr:spPr>
        <a:xfrm flipV="1">
          <a:off x="2202180" y="3710940"/>
          <a:ext cx="2819400" cy="96774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1</xdr:row>
      <xdr:rowOff>0</xdr:rowOff>
    </xdr:from>
    <xdr:to>
      <xdr:col>21</xdr:col>
      <xdr:colOff>304800</xdr:colOff>
      <xdr:row>27</xdr:row>
      <xdr:rowOff>85725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78A563AF-F995-4A37-9C13-B2EFDEF2D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200025"/>
          <a:ext cx="9448800" cy="5219700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1016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13</xdr:col>
      <xdr:colOff>742950</xdr:colOff>
      <xdr:row>38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10D41D3-62E2-44E2-86E7-5354E859E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BB68EB6-93E0-464F-AAD5-44A24AD95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90C589-F5CF-4994-A780-8F74E62012E6}" name="tblHeading" displayName="tblHeading" ref="F5:P21" totalsRowCount="1" headerRowDxfId="11">
  <tableColumns count="11">
    <tableColumn id="1" xr3:uid="{5C04F7A7-69D1-4188-8671-90D4A96F18B6}" name="Stap" totalsRowLabel="Totaal"/>
    <tableColumn id="3" xr3:uid="{779025BE-A308-41CD-8E30-41467851379D}" name="d"/>
    <tableColumn id="4" xr3:uid="{5B60B1F2-5AB1-46F5-880D-1405820D7D0C}" name="Va"/>
    <tableColumn id="5" xr3:uid="{1549DBE0-611E-4BB6-B14E-7DED4437D459}" name="w"/>
    <tableColumn id="6" xr3:uid="{D591EEB3-AE6F-4FB8-85A4-2D8EA0A85063}" name="Vw"/>
    <tableColumn id="2" xr3:uid="{6C102855-FC85-4511-ACA4-6248521033B4}" name="Afstand" totalsRowFunction="sum"/>
    <tableColumn id="10" xr3:uid="{5F3684D8-9807-43F4-9334-8F4EC83AF0C4}" name="∆a" dataDxfId="10">
      <calculatedColumnFormula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calculatedColumnFormula>
    </tableColumn>
    <tableColumn id="11" xr3:uid="{2499D90A-2A4C-4BDD-8C45-58F80F6A2B35}" name="∆a2" dataDxfId="9">
      <calculatedColumnFormula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calculatedColumnFormula>
    </tableColumn>
    <tableColumn id="7" xr3:uid="{8C3E2EED-3ECC-4AB3-93CC-DD23955FE61B}" name="Heading" dataDxfId="8">
      <calculatedColumnFormula>IF(tblHeading[[#This Row],[∆a]]="","",MOD(tblHeading[[#This Row],[d]]+tblHeading[[#This Row],[∆a]],360))</calculatedColumnFormula>
    </tableColumn>
    <tableColumn id="8" xr3:uid="{DAB40F58-81A1-4439-B644-DCC13AD62B30}" name="Vg" totalsRowFunction="average" dataDxfId="7" totalsRowDxfId="6">
      <calculatedColumnFormula>IF(tblHeading[[#This Row],[Heading]]="","",SQRT(tblHeading[[#This Row],[Va]]^2+tblHeading[[#This Row],[Vw]]^2-2*tblHeading[[#This Row],[Va]]*tblHeading[[#This Row],[Vw]]*COS(PI()*(tblHeading[[#This Row],[d]]-tblHeading[[#This Row],[w]]+tblHeading[[#This Row],[∆a]])/180)))</calculatedColumnFormula>
    </tableColumn>
    <tableColumn id="9" xr3:uid="{B341B42D-DE11-42B3-A0BE-E42573CE8CAB}" name="Tijd" totalsRowFunction="sum" dataDxfId="5" totalsRowDxfId="4">
      <calculatedColumnFormula>IF(tblHeading[[#This Row],[Vg]]="","",tblHeading[[#This Row],[Afstand]]/tblHeading[[#This Row],[Vg]]/24)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9965A7-0AB0-430A-8B33-1A7A830FA103}" name="tblGraf" displayName="tblGraf" ref="R4:U20" totalsRowShown="0" headerRowDxfId="3">
  <tableColumns count="4">
    <tableColumn id="1" xr3:uid="{3938AF7D-7742-4729-8F04-D3B59A3612EC}" name="Stap"/>
    <tableColumn id="2" xr3:uid="{FC8ECFC9-2048-49FB-8CB3-E8F3AEB5AA20}" name="x" dataDxfId="2"/>
    <tableColumn id="3" xr3:uid="{B0B009F9-B893-4D9A-9742-4845D0806D4E}" name="y" dataDxfId="1"/>
    <tableColumn id="4" xr3:uid="{11B29069-6453-4000-BBB3-BFAF7A56C2C0}" name="Label" dataDxfId="0">
      <calculatedColumnFormula>IF(tblGraf[[#This Row],[x]]=0,"",tblGraf[[#This Row],[Stap]]&amp; "/"&amp;TEXT(tblHeading[[#This Row],[Heading]],"000"))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6104-C545-4006-8DE4-CA9AB276861D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49" customWidth="1"/>
    <col min="2" max="3" width="8.7109375" style="49" customWidth="1"/>
    <col min="4" max="4" width="2.7109375" style="49" customWidth="1"/>
    <col min="5" max="13" width="8.7109375" style="49" customWidth="1"/>
    <col min="14" max="14" width="5.7109375" style="66" customWidth="1"/>
    <col min="15" max="15" width="10.28515625" style="49" customWidth="1"/>
    <col min="16" max="16" width="2.7109375" style="49" customWidth="1"/>
    <col min="17" max="26" width="9.140625" style="49" customWidth="1"/>
    <col min="27" max="16384" width="9.140625" style="49" hidden="1"/>
  </cols>
  <sheetData>
    <row r="1" spans="1:44" ht="7.1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44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</row>
    <row r="4" spans="1:44" ht="13.5" thickBot="1" x14ac:dyDescent="0.25">
      <c r="A4" s="47"/>
      <c r="B4" s="47"/>
      <c r="C4" s="47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50"/>
      <c r="P4" s="50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</row>
    <row r="5" spans="1:44" ht="13.5" thickTop="1" x14ac:dyDescent="0.2">
      <c r="A5" s="47"/>
      <c r="B5" s="47"/>
      <c r="C5" s="47"/>
      <c r="D5" s="50"/>
      <c r="E5" s="52"/>
      <c r="F5" s="53"/>
      <c r="G5" s="53"/>
      <c r="H5" s="53"/>
      <c r="I5" s="53"/>
      <c r="J5" s="53"/>
      <c r="K5" s="53"/>
      <c r="L5" s="53"/>
      <c r="M5" s="53"/>
      <c r="N5" s="53"/>
      <c r="O5" s="54"/>
      <c r="P5" s="50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</row>
    <row r="6" spans="1:44" ht="20.25" x14ac:dyDescent="0.3">
      <c r="A6" s="47"/>
      <c r="B6" s="47"/>
      <c r="C6" s="47"/>
      <c r="D6" s="50"/>
      <c r="E6" s="55"/>
      <c r="F6" s="56"/>
      <c r="G6" s="51"/>
      <c r="H6" s="51"/>
      <c r="I6" s="51"/>
      <c r="J6" s="51"/>
      <c r="K6" s="51"/>
      <c r="L6" s="51"/>
      <c r="M6" s="51"/>
      <c r="N6" s="51"/>
      <c r="O6" s="57"/>
      <c r="P6" s="50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</row>
    <row r="7" spans="1:44" x14ac:dyDescent="0.2">
      <c r="A7" s="47"/>
      <c r="B7" s="47"/>
      <c r="C7" s="47"/>
      <c r="D7" s="50"/>
      <c r="E7" s="55"/>
      <c r="F7" s="51"/>
      <c r="G7" s="51"/>
      <c r="H7" s="51"/>
      <c r="I7" s="51"/>
      <c r="J7" s="51"/>
      <c r="K7" s="51"/>
      <c r="L7" s="51"/>
      <c r="M7" s="51"/>
      <c r="N7" s="51"/>
      <c r="O7" s="57"/>
      <c r="P7" s="50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x14ac:dyDescent="0.2">
      <c r="A8" s="47"/>
      <c r="B8" s="47"/>
      <c r="C8" s="47"/>
      <c r="D8" s="50"/>
      <c r="E8" s="55"/>
      <c r="F8" s="51"/>
      <c r="G8" s="51"/>
      <c r="H8" s="51"/>
      <c r="I8" s="51"/>
      <c r="J8" s="51"/>
      <c r="K8" s="51"/>
      <c r="L8" s="51"/>
      <c r="M8" s="51"/>
      <c r="N8" s="51"/>
      <c r="O8" s="57"/>
      <c r="P8" s="50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</row>
    <row r="9" spans="1:44" x14ac:dyDescent="0.2">
      <c r="A9" s="47"/>
      <c r="B9" s="47"/>
      <c r="C9" s="47"/>
      <c r="D9" s="50"/>
      <c r="E9" s="55"/>
      <c r="F9" s="51"/>
      <c r="G9" s="51"/>
      <c r="H9" s="51"/>
      <c r="I9" s="51"/>
      <c r="J9" s="51"/>
      <c r="K9" s="51"/>
      <c r="L9" s="51"/>
      <c r="M9" s="51"/>
      <c r="N9" s="51"/>
      <c r="O9" s="57"/>
      <c r="P9" s="50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</row>
    <row r="10" spans="1:44" x14ac:dyDescent="0.2">
      <c r="A10" s="47"/>
      <c r="B10" s="47"/>
      <c r="C10" s="47"/>
      <c r="D10" s="50"/>
      <c r="E10" s="55"/>
      <c r="F10" s="51"/>
      <c r="G10" s="51"/>
      <c r="H10" s="51"/>
      <c r="I10" s="51"/>
      <c r="J10" s="51"/>
      <c r="K10" s="51"/>
      <c r="L10" s="51"/>
      <c r="M10" s="51"/>
      <c r="N10" s="51"/>
      <c r="O10" s="57"/>
      <c r="P10" s="50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</row>
    <row r="11" spans="1:44" x14ac:dyDescent="0.2">
      <c r="A11" s="47"/>
      <c r="B11" s="47"/>
      <c r="C11" s="47"/>
      <c r="D11" s="50"/>
      <c r="E11" s="55"/>
      <c r="F11" s="51"/>
      <c r="G11" s="51"/>
      <c r="H11" s="51"/>
      <c r="I11" s="51"/>
      <c r="J11" s="51"/>
      <c r="K11" s="51"/>
      <c r="L11" s="51"/>
      <c r="M11" s="51"/>
      <c r="N11" s="51"/>
      <c r="O11" s="57"/>
      <c r="P11" s="50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</row>
    <row r="12" spans="1:44" x14ac:dyDescent="0.2">
      <c r="A12" s="47"/>
      <c r="B12" s="47"/>
      <c r="C12" s="47"/>
      <c r="D12" s="50"/>
      <c r="E12" s="55"/>
      <c r="F12" s="51"/>
      <c r="G12" s="51"/>
      <c r="H12" s="51"/>
      <c r="I12" s="51"/>
      <c r="J12" s="51"/>
      <c r="K12" s="51"/>
      <c r="L12" s="51"/>
      <c r="M12" s="51"/>
      <c r="N12" s="51"/>
      <c r="O12" s="57"/>
      <c r="P12" s="50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</row>
    <row r="13" spans="1:44" x14ac:dyDescent="0.2">
      <c r="A13" s="47"/>
      <c r="B13" s="47"/>
      <c r="C13" s="47"/>
      <c r="D13" s="50"/>
      <c r="E13" s="55"/>
      <c r="F13" s="51"/>
      <c r="G13" s="51"/>
      <c r="H13" s="51"/>
      <c r="I13" s="51"/>
      <c r="J13" s="51"/>
      <c r="K13" s="51"/>
      <c r="L13" s="51"/>
      <c r="M13" s="51"/>
      <c r="N13" s="51"/>
      <c r="O13" s="57"/>
      <c r="P13" s="50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</row>
    <row r="14" spans="1:44" x14ac:dyDescent="0.2">
      <c r="A14" s="47"/>
      <c r="B14" s="47"/>
      <c r="C14" s="47"/>
      <c r="D14" s="50"/>
      <c r="E14" s="55"/>
      <c r="F14" s="51"/>
      <c r="G14" s="51"/>
      <c r="H14" s="51"/>
      <c r="I14" s="51"/>
      <c r="J14" s="51"/>
      <c r="K14" s="51"/>
      <c r="L14" s="51"/>
      <c r="M14" s="51"/>
      <c r="N14" s="51"/>
      <c r="O14" s="57"/>
      <c r="P14" s="50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</row>
    <row r="15" spans="1:44" x14ac:dyDescent="0.2">
      <c r="A15" s="47"/>
      <c r="B15" s="47"/>
      <c r="C15" s="47"/>
      <c r="D15" s="50"/>
      <c r="E15" s="55"/>
      <c r="F15" s="51"/>
      <c r="G15" s="51"/>
      <c r="H15" s="51"/>
      <c r="I15" s="51"/>
      <c r="J15" s="51"/>
      <c r="K15" s="51"/>
      <c r="L15" s="51"/>
      <c r="M15" s="51"/>
      <c r="N15" s="51"/>
      <c r="O15" s="57"/>
      <c r="P15" s="50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</row>
    <row r="16" spans="1:44" x14ac:dyDescent="0.2">
      <c r="A16" s="47"/>
      <c r="B16" s="47"/>
      <c r="C16" s="47"/>
      <c r="D16" s="50"/>
      <c r="E16" s="55"/>
      <c r="F16" s="51"/>
      <c r="G16" s="51"/>
      <c r="H16" s="51"/>
      <c r="I16" s="51"/>
      <c r="J16" s="51"/>
      <c r="K16" s="51"/>
      <c r="L16" s="51"/>
      <c r="M16" s="51"/>
      <c r="N16" s="51"/>
      <c r="O16" s="57"/>
      <c r="P16" s="50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</row>
    <row r="17" spans="1:44" x14ac:dyDescent="0.2">
      <c r="A17" s="47"/>
      <c r="B17" s="47"/>
      <c r="C17" s="47"/>
      <c r="D17" s="50"/>
      <c r="E17" s="55"/>
      <c r="F17" s="51"/>
      <c r="G17" s="51"/>
      <c r="H17" s="51"/>
      <c r="I17" s="51"/>
      <c r="J17" s="51"/>
      <c r="K17" s="51"/>
      <c r="L17" s="51"/>
      <c r="M17" s="51"/>
      <c r="N17" s="51"/>
      <c r="O17" s="57"/>
      <c r="P17" s="50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</row>
    <row r="18" spans="1:44" ht="37.5" x14ac:dyDescent="0.5">
      <c r="A18" s="47"/>
      <c r="B18" s="47"/>
      <c r="C18" s="47"/>
      <c r="D18" s="50"/>
      <c r="E18" s="55"/>
      <c r="F18" s="51"/>
      <c r="G18" s="51"/>
      <c r="H18" s="51"/>
      <c r="I18" s="51"/>
      <c r="J18" s="51"/>
      <c r="K18" s="51"/>
      <c r="L18" s="51"/>
      <c r="M18" s="51"/>
      <c r="N18" s="58"/>
      <c r="O18" s="57"/>
      <c r="P18" s="50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</row>
    <row r="19" spans="1:44" x14ac:dyDescent="0.2">
      <c r="A19" s="47"/>
      <c r="B19" s="47"/>
      <c r="C19" s="47"/>
      <c r="D19" s="50"/>
      <c r="E19" s="55"/>
      <c r="F19" s="51"/>
      <c r="G19" s="51"/>
      <c r="H19" s="51"/>
      <c r="I19" s="51"/>
      <c r="J19" s="51"/>
      <c r="K19" s="51"/>
      <c r="L19" s="51"/>
      <c r="M19" s="51"/>
      <c r="N19" s="51"/>
      <c r="O19" s="57"/>
      <c r="P19" s="50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</row>
    <row r="20" spans="1:44" x14ac:dyDescent="0.2">
      <c r="A20" s="47"/>
      <c r="B20" s="47"/>
      <c r="C20" s="47"/>
      <c r="D20" s="50"/>
      <c r="E20" s="55"/>
      <c r="F20" s="51"/>
      <c r="G20" s="51"/>
      <c r="H20" s="51"/>
      <c r="I20" s="51"/>
      <c r="J20" s="51"/>
      <c r="K20" s="51"/>
      <c r="L20" s="51"/>
      <c r="M20" s="51"/>
      <c r="N20" s="51"/>
      <c r="O20" s="57"/>
      <c r="P20" s="50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</row>
    <row r="21" spans="1:44" x14ac:dyDescent="0.2">
      <c r="A21" s="47"/>
      <c r="B21" s="47"/>
      <c r="C21" s="47"/>
      <c r="D21" s="50"/>
      <c r="E21" s="55"/>
      <c r="F21" s="51"/>
      <c r="G21" s="51"/>
      <c r="H21" s="51"/>
      <c r="I21" s="51"/>
      <c r="J21" s="51"/>
      <c r="K21" s="51"/>
      <c r="L21" s="51"/>
      <c r="M21" s="51"/>
      <c r="N21" s="51"/>
      <c r="O21" s="57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spans="1:44" x14ac:dyDescent="0.2">
      <c r="A22" s="47"/>
      <c r="B22" s="47"/>
      <c r="C22" s="47"/>
      <c r="D22" s="50"/>
      <c r="E22" s="55"/>
      <c r="F22" s="51"/>
      <c r="G22" s="51"/>
      <c r="H22" s="51"/>
      <c r="I22" s="51"/>
      <c r="J22" s="51"/>
      <c r="K22" s="51"/>
      <c r="L22" s="51"/>
      <c r="M22" s="51"/>
      <c r="N22" s="51"/>
      <c r="O22" s="57"/>
      <c r="P22" s="50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</row>
    <row r="23" spans="1:44" x14ac:dyDescent="0.2">
      <c r="A23" s="47"/>
      <c r="B23" s="47"/>
      <c r="C23" s="47"/>
      <c r="D23" s="50"/>
      <c r="E23" s="55"/>
      <c r="F23" s="51"/>
      <c r="G23" s="51"/>
      <c r="H23" s="51"/>
      <c r="I23" s="51"/>
      <c r="J23" s="51"/>
      <c r="K23" s="51"/>
      <c r="L23" s="51"/>
      <c r="M23" s="51"/>
      <c r="N23" s="51"/>
      <c r="O23" s="57"/>
      <c r="P23" s="50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</row>
    <row r="24" spans="1:44" ht="23.25" x14ac:dyDescent="0.35">
      <c r="A24" s="47"/>
      <c r="B24" s="47"/>
      <c r="C24" s="47"/>
      <c r="D24" s="50"/>
      <c r="E24" s="55"/>
      <c r="F24" s="51"/>
      <c r="G24" s="51"/>
      <c r="H24" s="51"/>
      <c r="I24" s="51"/>
      <c r="J24" s="51"/>
      <c r="K24" s="51"/>
      <c r="L24" s="51"/>
      <c r="M24" s="51"/>
      <c r="N24" s="59" t="s">
        <v>57</v>
      </c>
      <c r="O24" s="57"/>
      <c r="P24" s="50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</row>
    <row r="25" spans="1:44" x14ac:dyDescent="0.2">
      <c r="A25" s="47"/>
      <c r="B25" s="47"/>
      <c r="C25" s="47"/>
      <c r="D25" s="50"/>
      <c r="E25" s="55"/>
      <c r="F25" s="51"/>
      <c r="G25" s="51"/>
      <c r="H25" s="51"/>
      <c r="I25" s="51"/>
      <c r="J25" s="51"/>
      <c r="K25" s="51"/>
      <c r="L25" s="51"/>
      <c r="M25" s="51"/>
      <c r="N25" s="51"/>
      <c r="O25" s="57"/>
      <c r="P25" s="50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</row>
    <row r="26" spans="1:44" x14ac:dyDescent="0.2">
      <c r="A26" s="47"/>
      <c r="B26" s="47"/>
      <c r="C26" s="47"/>
      <c r="D26" s="50"/>
      <c r="E26" s="55"/>
      <c r="F26" s="51"/>
      <c r="G26" s="51"/>
      <c r="H26" s="51"/>
      <c r="I26" s="51"/>
      <c r="J26" s="51"/>
      <c r="K26" s="51"/>
      <c r="L26" s="51"/>
      <c r="M26" s="51"/>
      <c r="N26" s="51"/>
      <c r="O26" s="57"/>
      <c r="P26" s="50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</row>
    <row r="27" spans="1:44" x14ac:dyDescent="0.2">
      <c r="A27" s="47"/>
      <c r="B27" s="47"/>
      <c r="C27" s="47"/>
      <c r="D27" s="50"/>
      <c r="E27" s="55"/>
      <c r="F27" s="51"/>
      <c r="G27" s="51"/>
      <c r="H27" s="51"/>
      <c r="I27" s="51"/>
      <c r="J27" s="51"/>
      <c r="K27" s="51"/>
      <c r="L27" s="51"/>
      <c r="M27" s="51"/>
      <c r="N27" s="51"/>
      <c r="O27" s="57"/>
      <c r="P27" s="50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</row>
    <row r="28" spans="1:44" x14ac:dyDescent="0.2">
      <c r="A28" s="47"/>
      <c r="B28" s="47"/>
      <c r="C28" s="47"/>
      <c r="D28" s="50"/>
      <c r="E28" s="55"/>
      <c r="F28" s="51"/>
      <c r="G28" s="51"/>
      <c r="H28" s="51"/>
      <c r="I28" s="51"/>
      <c r="J28" s="51"/>
      <c r="K28" s="51"/>
      <c r="L28" s="51"/>
      <c r="M28" s="51"/>
      <c r="N28" s="51"/>
      <c r="O28" s="57"/>
      <c r="P28" s="50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</row>
    <row r="29" spans="1:44" x14ac:dyDescent="0.2">
      <c r="A29" s="47"/>
      <c r="B29" s="47"/>
      <c r="C29" s="47"/>
      <c r="D29" s="50"/>
      <c r="E29" s="55"/>
      <c r="F29" s="51"/>
      <c r="G29" s="51"/>
      <c r="H29" s="51"/>
      <c r="I29" s="51"/>
      <c r="J29" s="51"/>
      <c r="K29" s="51"/>
      <c r="L29" s="51"/>
      <c r="M29" s="51"/>
      <c r="N29" s="51"/>
      <c r="O29" s="57"/>
      <c r="P29" s="50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</row>
    <row r="30" spans="1:44" x14ac:dyDescent="0.2">
      <c r="A30" s="47"/>
      <c r="B30" s="47"/>
      <c r="C30" s="47"/>
      <c r="D30" s="50"/>
      <c r="E30" s="55"/>
      <c r="F30" s="51"/>
      <c r="G30" s="51"/>
      <c r="H30" s="51"/>
      <c r="I30" s="51"/>
      <c r="J30" s="51"/>
      <c r="K30" s="51"/>
      <c r="L30" s="51"/>
      <c r="M30" s="51"/>
      <c r="N30" s="51"/>
      <c r="O30" s="57"/>
      <c r="P30" s="50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</row>
    <row r="31" spans="1:44" x14ac:dyDescent="0.2">
      <c r="A31" s="47"/>
      <c r="B31" s="47"/>
      <c r="C31" s="47"/>
      <c r="D31" s="50"/>
      <c r="E31" s="55"/>
      <c r="F31" s="51"/>
      <c r="G31" s="51"/>
      <c r="H31" s="51"/>
      <c r="I31" s="51"/>
      <c r="J31" s="51"/>
      <c r="K31" s="51"/>
      <c r="L31" s="51"/>
      <c r="M31" s="51"/>
      <c r="N31" s="51"/>
      <c r="O31" s="57"/>
      <c r="P31" s="50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</row>
    <row r="32" spans="1:44" x14ac:dyDescent="0.2">
      <c r="A32" s="47"/>
      <c r="B32" s="47"/>
      <c r="C32" s="47"/>
      <c r="D32" s="50"/>
      <c r="E32" s="55"/>
      <c r="F32" s="51"/>
      <c r="G32" s="51"/>
      <c r="H32" s="51"/>
      <c r="I32" s="51"/>
      <c r="J32" s="51"/>
      <c r="K32" s="51"/>
      <c r="L32" s="51"/>
      <c r="M32" s="51"/>
      <c r="N32" s="51"/>
      <c r="O32" s="57"/>
      <c r="P32" s="50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</row>
    <row r="33" spans="1:44" x14ac:dyDescent="0.2">
      <c r="A33" s="47"/>
      <c r="B33" s="47"/>
      <c r="C33" s="47"/>
      <c r="D33" s="50"/>
      <c r="E33" s="55"/>
      <c r="F33" s="51"/>
      <c r="G33" s="51"/>
      <c r="H33" s="51"/>
      <c r="I33" s="51"/>
      <c r="J33" s="51"/>
      <c r="K33" s="51"/>
      <c r="L33" s="51"/>
      <c r="M33" s="51"/>
      <c r="N33" s="60" t="s">
        <v>55</v>
      </c>
      <c r="O33" s="57"/>
      <c r="P33" s="50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</row>
    <row r="34" spans="1:44" x14ac:dyDescent="0.2">
      <c r="A34" s="47"/>
      <c r="B34" s="47"/>
      <c r="C34" s="47"/>
      <c r="D34" s="50"/>
      <c r="E34" s="55"/>
      <c r="F34" s="51"/>
      <c r="G34" s="51"/>
      <c r="H34" s="51"/>
      <c r="I34" s="51"/>
      <c r="J34" s="51"/>
      <c r="K34" s="51"/>
      <c r="L34" s="51"/>
      <c r="M34" s="51"/>
      <c r="N34" s="61" t="s">
        <v>56</v>
      </c>
      <c r="O34" s="57"/>
      <c r="P34" s="50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</row>
    <row r="35" spans="1:44" x14ac:dyDescent="0.2">
      <c r="A35" s="47"/>
      <c r="B35" s="47"/>
      <c r="C35" s="47"/>
      <c r="D35" s="50"/>
      <c r="E35" s="55"/>
      <c r="F35" s="51"/>
      <c r="G35" s="51"/>
      <c r="H35" s="51"/>
      <c r="I35" s="51"/>
      <c r="J35" s="51"/>
      <c r="K35" s="51"/>
      <c r="L35" s="51"/>
      <c r="M35" s="51"/>
      <c r="N35" s="62"/>
      <c r="O35" s="57"/>
      <c r="P35" s="50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</row>
    <row r="36" spans="1:44" x14ac:dyDescent="0.2">
      <c r="A36" s="47"/>
      <c r="B36" s="47"/>
      <c r="C36" s="47"/>
      <c r="D36" s="50"/>
      <c r="E36" s="55"/>
      <c r="F36" s="51"/>
      <c r="G36" s="51"/>
      <c r="H36" s="51"/>
      <c r="I36" s="51"/>
      <c r="J36" s="51"/>
      <c r="K36" s="51"/>
      <c r="L36" s="51"/>
      <c r="M36" s="51"/>
      <c r="N36" s="51"/>
      <c r="O36" s="57"/>
      <c r="P36" s="50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</row>
    <row r="37" spans="1:44" ht="13.5" thickBot="1" x14ac:dyDescent="0.25">
      <c r="A37" s="47"/>
      <c r="B37" s="47"/>
      <c r="C37" s="47"/>
      <c r="D37" s="50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5"/>
      <c r="P37" s="50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</row>
    <row r="38" spans="1:44" ht="13.5" thickTop="1" x14ac:dyDescent="0.2">
      <c r="A38" s="47"/>
      <c r="B38" s="47"/>
      <c r="C38" s="47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0"/>
      <c r="P38" s="50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</row>
    <row r="39" spans="1:44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</row>
    <row r="40" spans="1:4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</row>
    <row r="41" spans="1:4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</row>
    <row r="42" spans="1:44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</row>
    <row r="43" spans="1:44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</row>
    <row r="44" spans="1:44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</row>
    <row r="45" spans="1:44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</row>
    <row r="46" spans="1:44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</row>
    <row r="47" spans="1:44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</row>
    <row r="48" spans="1:44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</row>
    <row r="49" spans="1:44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</row>
    <row r="50" spans="1:44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</row>
    <row r="51" spans="1:44" hidden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</row>
    <row r="52" spans="1:44" hidden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</row>
    <row r="53" spans="1:44" hidden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</row>
    <row r="54" spans="1:44" hidden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</row>
    <row r="55" spans="1:44" hidden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</row>
    <row r="56" spans="1:44" hidden="1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</row>
    <row r="57" spans="1:44" hidden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8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</row>
    <row r="58" spans="1:44" hidden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8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</row>
    <row r="59" spans="1:44" hidden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8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</row>
    <row r="60" spans="1:44" hidden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8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</row>
    <row r="61" spans="1:44" hidden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8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</row>
    <row r="62" spans="1:44" hidden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</row>
    <row r="63" spans="1:44" hidden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</row>
    <row r="64" spans="1:44" hidden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</row>
    <row r="65" spans="1:44" hidden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8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</row>
    <row r="66" spans="1:44" hidden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</row>
    <row r="67" spans="1:44" hidden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hidden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8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</row>
    <row r="69" spans="1:44" hidden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</row>
    <row r="70" spans="1:44" hidden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</row>
    <row r="71" spans="1:44" hidden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8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</row>
    <row r="72" spans="1:44" hidden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</row>
    <row r="73" spans="1:44" hidden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</row>
    <row r="74" spans="1:44" hidden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</row>
    <row r="75" spans="1:44" hidden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8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</row>
    <row r="76" spans="1:44" hidden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</row>
    <row r="77" spans="1:44" hidden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</row>
    <row r="78" spans="1:44" hidden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</row>
    <row r="79" spans="1:44" hidden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</row>
    <row r="80" spans="1:44" hidden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8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</row>
    <row r="81" spans="1:44" hidden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</row>
    <row r="82" spans="1:44" hidden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8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</row>
  </sheetData>
  <sheetProtection selectLockedCells="1" selectUnlockedCells="1"/>
  <hyperlinks>
    <hyperlink ref="N34" r:id="rId1" tooltip="Klik hier voor meer tips." xr:uid="{841161BD-74E6-4AAF-A8C9-F49DF92C6DEB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A33E-7FFE-4473-A4D3-EE8A9B0555BD}">
  <sheetPr codeName="Blad1"/>
  <dimension ref="B1:F7"/>
  <sheetViews>
    <sheetView workbookViewId="0"/>
  </sheetViews>
  <sheetFormatPr defaultRowHeight="15" x14ac:dyDescent="0.25"/>
  <cols>
    <col min="1" max="1" width="3.140625" customWidth="1"/>
    <col min="2" max="6" width="14.5703125" customWidth="1"/>
  </cols>
  <sheetData>
    <row r="1" spans="2:6" ht="15.75" thickBot="1" x14ac:dyDescent="0.3"/>
    <row r="2" spans="2:6" x14ac:dyDescent="0.25">
      <c r="B2" s="34" t="s">
        <v>0</v>
      </c>
      <c r="C2" s="35" t="s">
        <v>1</v>
      </c>
      <c r="D2" s="36" t="s">
        <v>2</v>
      </c>
      <c r="E2" s="36" t="s">
        <v>46</v>
      </c>
      <c r="F2" s="39" t="s">
        <v>47</v>
      </c>
    </row>
    <row r="3" spans="2:6" x14ac:dyDescent="0.25">
      <c r="B3" s="30">
        <v>10</v>
      </c>
      <c r="C3" s="31">
        <v>-20</v>
      </c>
      <c r="D3" s="37">
        <f>IF(B3+C3&lt;0,B3+C3+360,IF(B3+C3&gt;360,B3+C3-360,B3+C3))</f>
        <v>350</v>
      </c>
      <c r="E3" s="37">
        <f>MOD(B3+C3,360)</f>
        <v>350</v>
      </c>
      <c r="F3" s="40">
        <f>D3-360*TRUNC(D3/360)</f>
        <v>350</v>
      </c>
    </row>
    <row r="4" spans="2:6" x14ac:dyDescent="0.25">
      <c r="B4" s="30">
        <v>355</v>
      </c>
      <c r="C4" s="31">
        <v>15</v>
      </c>
      <c r="D4" s="37">
        <f>IF(B4+C4&lt;0,B4+C4+360,IF(B4+C4&gt;360,B4+C4-360,B4+C4))</f>
        <v>10</v>
      </c>
      <c r="E4" s="37">
        <f>MOD(B4+C4,360)</f>
        <v>10</v>
      </c>
      <c r="F4" s="40">
        <f>D4-360*TRUNC(D4/360)</f>
        <v>10</v>
      </c>
    </row>
    <row r="5" spans="2:6" x14ac:dyDescent="0.25">
      <c r="B5" s="30">
        <v>90</v>
      </c>
      <c r="C5" s="31">
        <v>-10</v>
      </c>
      <c r="D5" s="37">
        <f>IF(B5+C5&lt;0,B5+C5+360,IF(B5+C5&gt;360,B5+C5-360,B5+C5))</f>
        <v>80</v>
      </c>
      <c r="E5" s="37">
        <f>MOD(B5+C5,360)</f>
        <v>80</v>
      </c>
      <c r="F5" s="40">
        <f>D5-360*TRUNC(D5/360)</f>
        <v>80</v>
      </c>
    </row>
    <row r="6" spans="2:6" x14ac:dyDescent="0.25">
      <c r="B6" s="30">
        <v>5</v>
      </c>
      <c r="C6" s="31">
        <v>5</v>
      </c>
      <c r="D6" s="37">
        <f>IF(B6+C6&lt;0,B6+C6+360,IF(B6+C6&gt;360,B6+C6-360,B6+C6))</f>
        <v>10</v>
      </c>
      <c r="E6" s="37">
        <f>MOD(B6+C6,360)</f>
        <v>10</v>
      </c>
      <c r="F6" s="40">
        <f>D6-360*TRUNC(D6/360)</f>
        <v>10</v>
      </c>
    </row>
    <row r="7" spans="2:6" ht="15.75" thickBot="1" x14ac:dyDescent="0.3">
      <c r="B7" s="32">
        <v>5</v>
      </c>
      <c r="C7" s="33">
        <v>-5</v>
      </c>
      <c r="D7" s="38">
        <f>IF(B7+C7&lt;0,B7+C7+360,IF(B7+C7&gt;360,B7+C7-360,B7+C7))</f>
        <v>0</v>
      </c>
      <c r="E7" s="38">
        <f>MOD(B7+C7,360)</f>
        <v>0</v>
      </c>
      <c r="F7" s="41">
        <f>D7-360*TRUNC(D7/360)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04ED-333C-4270-BB6E-5068568B97A0}">
  <sheetPr codeName="Blad2"/>
  <dimension ref="B1:E30"/>
  <sheetViews>
    <sheetView workbookViewId="0"/>
  </sheetViews>
  <sheetFormatPr defaultRowHeight="15" x14ac:dyDescent="0.25"/>
  <cols>
    <col min="1" max="1" width="2.5703125" customWidth="1"/>
    <col min="2" max="2" width="31.42578125" bestFit="1" customWidth="1"/>
    <col min="3" max="3" width="12" bestFit="1" customWidth="1"/>
    <col min="4" max="4" width="7.7109375" bestFit="1" customWidth="1"/>
    <col min="6" max="6" width="9.28515625" customWidth="1"/>
  </cols>
  <sheetData>
    <row r="1" spans="2:4" ht="15.75" thickBot="1" x14ac:dyDescent="0.3"/>
    <row r="2" spans="2:4" x14ac:dyDescent="0.25">
      <c r="B2" s="9" t="s">
        <v>8</v>
      </c>
      <c r="C2" s="6">
        <v>350</v>
      </c>
      <c r="D2" s="3" t="s">
        <v>6</v>
      </c>
    </row>
    <row r="3" spans="2:4" ht="18" x14ac:dyDescent="0.35">
      <c r="B3" s="10" t="s">
        <v>9</v>
      </c>
      <c r="C3" s="7">
        <v>100</v>
      </c>
      <c r="D3" s="4" t="s">
        <v>7</v>
      </c>
    </row>
    <row r="4" spans="2:4" x14ac:dyDescent="0.25">
      <c r="B4" s="10" t="s">
        <v>10</v>
      </c>
      <c r="C4" s="7">
        <v>40</v>
      </c>
      <c r="D4" s="4" t="s">
        <v>6</v>
      </c>
    </row>
    <row r="5" spans="2:4" ht="18.75" thickBot="1" x14ac:dyDescent="0.4">
      <c r="B5" s="11" t="s">
        <v>11</v>
      </c>
      <c r="C5" s="8">
        <v>15</v>
      </c>
      <c r="D5" s="5" t="s">
        <v>7</v>
      </c>
    </row>
    <row r="8" spans="2:4" x14ac:dyDescent="0.25">
      <c r="B8" s="12" t="s">
        <v>12</v>
      </c>
      <c r="C8">
        <f>180/PI()*ASIN(Vw*SIN(PI()*(w-d)/180)/Va)</f>
        <v>6.5982417447546551</v>
      </c>
      <c r="D8" s="2">
        <f>ROUND(Da,0)</f>
        <v>7</v>
      </c>
    </row>
    <row r="9" spans="2:4" x14ac:dyDescent="0.25">
      <c r="B9" s="12" t="s">
        <v>13</v>
      </c>
      <c r="C9">
        <f>d+Da</f>
        <v>356.59824174475466</v>
      </c>
      <c r="D9" s="1">
        <f>IF(d+Da&lt;0,d+Da+360,IF(d+Da&gt;360,d+Da-360,d+Da))</f>
        <v>356.59824174475466</v>
      </c>
    </row>
    <row r="10" spans="2:4" ht="18" x14ac:dyDescent="0.35">
      <c r="B10" s="12" t="s">
        <v>14</v>
      </c>
      <c r="C10">
        <f>SQRT(Va^2+Vw^2-2*Va*Vw*COS(PI()*(d-w+Da)/180))</f>
        <v>89.695815079545355</v>
      </c>
      <c r="D10">
        <f>ROUND(Vg,0)</f>
        <v>90</v>
      </c>
    </row>
    <row r="14" spans="2:4" ht="15.75" thickBot="1" x14ac:dyDescent="0.3"/>
    <row r="15" spans="2:4" x14ac:dyDescent="0.25">
      <c r="B15" s="9" t="s">
        <v>12</v>
      </c>
      <c r="C15" s="13">
        <f>ROUND(180/PI()*ASIN(Vw*SIN(PI()*(w-d)/180)/Va),0)</f>
        <v>7</v>
      </c>
      <c r="D15" s="3" t="s">
        <v>6</v>
      </c>
    </row>
    <row r="16" spans="2:4" x14ac:dyDescent="0.25">
      <c r="B16" s="10" t="s">
        <v>13</v>
      </c>
      <c r="C16" s="14">
        <f>IF(d+Da&lt;0,d+Da+360,IF(d+Da&gt;360,d+Da-360,d+Da))</f>
        <v>356.59824174475466</v>
      </c>
      <c r="D16" s="4" t="s">
        <v>6</v>
      </c>
    </row>
    <row r="17" spans="2:5" ht="18.75" thickBot="1" x14ac:dyDescent="0.4">
      <c r="B17" s="11" t="s">
        <v>14</v>
      </c>
      <c r="C17" s="8">
        <f>ROUND(SQRT(Va^2+Vw^2-2*Va*Vw*COS(PI()*(d-w+Da)/180)),0)</f>
        <v>90</v>
      </c>
      <c r="D17" s="5" t="s">
        <v>7</v>
      </c>
    </row>
    <row r="21" spans="2:5" x14ac:dyDescent="0.25">
      <c r="B21" t="s">
        <v>3</v>
      </c>
    </row>
    <row r="23" spans="2:5" x14ac:dyDescent="0.25">
      <c r="B23" t="s">
        <v>4</v>
      </c>
    </row>
    <row r="26" spans="2:5" x14ac:dyDescent="0.25">
      <c r="B26" t="s">
        <v>5</v>
      </c>
    </row>
    <row r="30" spans="2:5" x14ac:dyDescent="0.25">
      <c r="E30" s="2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46B4-E612-4865-B540-B64B36D65E61}">
  <sheetPr codeName="Blad3"/>
  <dimension ref="B1:U24"/>
  <sheetViews>
    <sheetView workbookViewId="0"/>
  </sheetViews>
  <sheetFormatPr defaultRowHeight="15" x14ac:dyDescent="0.25"/>
  <cols>
    <col min="1" max="1" width="2.5703125" customWidth="1"/>
    <col min="2" max="2" width="3.28515625" bestFit="1" customWidth="1"/>
    <col min="3" max="3" width="14.28515625" bestFit="1" customWidth="1"/>
    <col min="4" max="4" width="21.42578125" bestFit="1" customWidth="1"/>
    <col min="5" max="5" width="3.7109375" customWidth="1"/>
    <col min="6" max="6" width="16" bestFit="1" customWidth="1"/>
    <col min="7" max="7" width="10.7109375" bestFit="1" customWidth="1"/>
    <col min="8" max="8" width="7.5703125" bestFit="1" customWidth="1"/>
    <col min="9" max="9" width="7.140625" bestFit="1" customWidth="1"/>
    <col min="10" max="10" width="7.85546875" bestFit="1" customWidth="1"/>
    <col min="11" max="11" width="12.42578125" bestFit="1" customWidth="1"/>
    <col min="12" max="12" width="7.85546875" bestFit="1" customWidth="1"/>
    <col min="13" max="13" width="7.85546875" customWidth="1"/>
    <col min="14" max="14" width="12.85546875" bestFit="1" customWidth="1"/>
    <col min="15" max="15" width="7.5703125" bestFit="1" customWidth="1"/>
    <col min="16" max="16" width="8.85546875" bestFit="1" customWidth="1"/>
    <col min="17" max="17" width="4.140625" customWidth="1"/>
    <col min="18" max="18" width="14.7109375" bestFit="1" customWidth="1"/>
    <col min="19" max="19" width="11.28515625" bestFit="1" customWidth="1"/>
    <col min="20" max="20" width="10.5703125" bestFit="1" customWidth="1"/>
    <col min="21" max="21" width="18.7109375" bestFit="1" customWidth="1"/>
  </cols>
  <sheetData>
    <row r="1" spans="2:21" ht="15.75" thickBot="1" x14ac:dyDescent="0.3"/>
    <row r="2" spans="2:21" x14ac:dyDescent="0.25">
      <c r="F2" s="45" t="s">
        <v>50</v>
      </c>
      <c r="G2" s="46" t="s">
        <v>51</v>
      </c>
    </row>
    <row r="3" spans="2:21" ht="19.5" thickBot="1" x14ac:dyDescent="0.35">
      <c r="F3" s="21" t="s">
        <v>52</v>
      </c>
      <c r="G3" s="23" t="s">
        <v>53</v>
      </c>
      <c r="I3" s="70" t="str">
        <f>F3&amp;" - "&amp;G3</f>
        <v>Teuge - Texel EHTX</v>
      </c>
      <c r="J3" s="70"/>
      <c r="K3" s="70"/>
      <c r="L3" s="70"/>
      <c r="M3" s="70"/>
      <c r="N3" s="70"/>
      <c r="O3" s="70"/>
      <c r="P3" s="70"/>
    </row>
    <row r="4" spans="2:21" ht="15.75" thickBot="1" x14ac:dyDescent="0.3">
      <c r="R4" s="15" t="s">
        <v>15</v>
      </c>
      <c r="S4" s="15" t="s">
        <v>35</v>
      </c>
      <c r="T4" s="15" t="s">
        <v>36</v>
      </c>
      <c r="U4" s="15" t="s">
        <v>54</v>
      </c>
    </row>
    <row r="5" spans="2:21" ht="18" x14ac:dyDescent="0.35">
      <c r="B5" s="67" t="s">
        <v>34</v>
      </c>
      <c r="C5" s="68"/>
      <c r="D5" s="69"/>
      <c r="F5" s="15" t="s">
        <v>15</v>
      </c>
      <c r="G5" s="15" t="s">
        <v>17</v>
      </c>
      <c r="H5" s="15" t="s">
        <v>20</v>
      </c>
      <c r="I5" s="15" t="s">
        <v>18</v>
      </c>
      <c r="J5" s="15" t="s">
        <v>21</v>
      </c>
      <c r="K5" s="15" t="s">
        <v>16</v>
      </c>
      <c r="L5" s="15" t="s">
        <v>24</v>
      </c>
      <c r="M5" s="15" t="s">
        <v>37</v>
      </c>
      <c r="N5" s="15" t="s">
        <v>19</v>
      </c>
      <c r="O5" s="15" t="s">
        <v>23</v>
      </c>
      <c r="P5" s="15" t="s">
        <v>22</v>
      </c>
      <c r="R5" t="str">
        <f>F3</f>
        <v>Teuge</v>
      </c>
      <c r="S5" s="28">
        <v>0</v>
      </c>
      <c r="T5" s="28">
        <v>0</v>
      </c>
      <c r="U5" t="str">
        <f>IF(tblGraf[[#This Row],[x]]=0,"",tblGraf[[#This Row],[Stap]]&amp; "/"&amp;TEXT(tblHeading[[#This Row],[Heading]],"000"))</f>
        <v/>
      </c>
    </row>
    <row r="6" spans="2:21" x14ac:dyDescent="0.25">
      <c r="B6" s="18" t="s">
        <v>17</v>
      </c>
      <c r="C6" s="19" t="s">
        <v>27</v>
      </c>
      <c r="D6" s="20"/>
      <c r="F6" t="s">
        <v>41</v>
      </c>
      <c r="G6" s="1">
        <v>39</v>
      </c>
      <c r="H6">
        <v>100</v>
      </c>
      <c r="I6">
        <v>9</v>
      </c>
      <c r="J6">
        <v>7</v>
      </c>
      <c r="K6" s="29">
        <v>2.6</v>
      </c>
      <c r="L6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-2.0057619349098252</v>
      </c>
      <c r="M6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-2.0057619349098252</v>
      </c>
      <c r="N6" s="1">
        <f>IF(tblHeading[[#This Row],[∆a]]="","",MOD(tblHeading[[#This Row],[d]]+tblHeading[[#This Row],[∆a]],360))</f>
        <v>36.994238065090173</v>
      </c>
      <c r="O6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93.876553404198475</v>
      </c>
      <c r="P6" s="17">
        <f>IF(tblHeading[[#This Row],[Vg]]="","",tblHeading[[#This Row],[Afstand]]/tblHeading[[#This Row],[Vg]]/24)</f>
        <v>1.1539977705283789E-3</v>
      </c>
      <c r="R6" t="str">
        <f>IF(tblHeading[[#This Row],[Heading]]="","",tblHeading[[#This Row],[Stap]])</f>
        <v>IJssel</v>
      </c>
      <c r="S6" s="28">
        <f>IF(tblGraf[[#This Row],[Stap]]="",NA(),S5+tblHeading[[#This Row],[Afstand]]*COS((90-tblHeading[[#This Row],[d]])*PI()/180))</f>
        <v>1.6362330167295775</v>
      </c>
      <c r="T6" s="28">
        <f>IF(tblGraf[[#This Row],[Stap]]="",NA(),T5+tblHeading[[#This Row],[Afstand]]*SIN(RADIANS(90-tblHeading[[#This Row],[d]])))</f>
        <v>2.0205794997881243</v>
      </c>
      <c r="U6" t="str">
        <f>IF(tblGraf[[#This Row],[x]]=0,"",tblGraf[[#This Row],[Stap]]&amp; "/"&amp;TEXT(tblHeading[[#This Row],[Heading]],"000"))</f>
        <v>IJssel/037</v>
      </c>
    </row>
    <row r="7" spans="2:21" ht="18" x14ac:dyDescent="0.35">
      <c r="B7" s="18" t="s">
        <v>20</v>
      </c>
      <c r="C7" s="19" t="s">
        <v>26</v>
      </c>
      <c r="D7" s="20"/>
      <c r="F7" t="s">
        <v>40</v>
      </c>
      <c r="G7">
        <v>346</v>
      </c>
      <c r="H7">
        <v>104</v>
      </c>
      <c r="I7">
        <v>9</v>
      </c>
      <c r="J7">
        <v>7</v>
      </c>
      <c r="K7" s="29">
        <v>5.4</v>
      </c>
      <c r="L7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1.5070075242319207</v>
      </c>
      <c r="M7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1.5070075242319176</v>
      </c>
      <c r="N7" s="1">
        <f>IF(tblHeading[[#This Row],[∆a]]="","",MOD(tblHeading[[#This Row],[d]]+tblHeading[[#This Row],[∆a]],360))</f>
        <v>347.50700752423194</v>
      </c>
      <c r="O7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97.520494083985056</v>
      </c>
      <c r="P7" s="17">
        <f>IF(tblHeading[[#This Row],[Vg]]="","",tblHeading[[#This Row],[Afstand]]/tblHeading[[#This Row],[Vg]]/24)</f>
        <v>2.3072073425533415E-3</v>
      </c>
      <c r="R7" t="str">
        <f>IF(tblHeading[[#This Row],[Heading]]="","",tblHeading[[#This Row],[Stap]])</f>
        <v>IJssel curve</v>
      </c>
      <c r="S7" s="28">
        <f>IF(tblGraf[[#This Row],[Stap]]="",NA(),S6+tblHeading[[#This Row],[Afstand]]*COS((90-tblHeading[[#This Row],[d]])*PI()/180))</f>
        <v>0.3298547804913714</v>
      </c>
      <c r="T7" s="28">
        <f>IF(tblGraf[[#This Row],[Stap]]="",NA(),T6+tblHeading[[#This Row],[Afstand]]*SIN(RADIANS(90-tblHeading[[#This Row],[d]])))</f>
        <v>7.2601764216785059</v>
      </c>
      <c r="U7" t="str">
        <f>IF(tblGraf[[#This Row],[x]]=0,"",tblGraf[[#This Row],[Stap]]&amp; "/"&amp;TEXT(tblHeading[[#This Row],[Heading]],"000"))</f>
        <v>IJssel curve/348</v>
      </c>
    </row>
    <row r="8" spans="2:21" x14ac:dyDescent="0.25">
      <c r="B8" s="18" t="s">
        <v>18</v>
      </c>
      <c r="C8" s="19" t="s">
        <v>28</v>
      </c>
      <c r="D8" s="20"/>
      <c r="F8" t="s">
        <v>38</v>
      </c>
      <c r="G8">
        <v>345</v>
      </c>
      <c r="H8">
        <v>104</v>
      </c>
      <c r="I8">
        <v>9</v>
      </c>
      <c r="J8">
        <v>6</v>
      </c>
      <c r="K8" s="29">
        <v>7.6</v>
      </c>
      <c r="L8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1.3446018598876164</v>
      </c>
      <c r="M8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1.3446018598876164</v>
      </c>
      <c r="N8" s="1">
        <f>IF(tblHeading[[#This Row],[∆a]]="","",MOD(tblHeading[[#This Row],[d]]+tblHeading[[#This Row],[∆a]],360))</f>
        <v>346.34460185988763</v>
      </c>
      <c r="O8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98.490090383202471</v>
      </c>
      <c r="P8" s="17">
        <f>IF(tblHeading[[#This Row],[Vg]]="","",tblHeading[[#This Row],[Afstand]]/tblHeading[[#This Row],[Vg]]/24)</f>
        <v>3.2152134842661725E-3</v>
      </c>
      <c r="R8" t="str">
        <f>IF(tblHeading[[#This Row],[Heading]]="","",tblHeading[[#This Row],[Stap]])</f>
        <v>A28-A50</v>
      </c>
      <c r="S8" s="28">
        <f>IF(tblGraf[[#This Row],[Stap]]="",NA(),S7+tblHeading[[#This Row],[Afstand]]*COS((90-tblHeading[[#This Row],[d]])*PI()/180))</f>
        <v>-1.6371699622877853</v>
      </c>
      <c r="T8" s="28">
        <f>IF(tblGraf[[#This Row],[Stap]]="",NA(),T7+tblHeading[[#This Row],[Afstand]]*SIN(RADIANS(90-tblHeading[[#This Row],[d]])))</f>
        <v>14.601212701475426</v>
      </c>
      <c r="U8" t="str">
        <f>IF(tblGraf[[#This Row],[x]]=0,"",tblGraf[[#This Row],[Stap]]&amp; "/"&amp;TEXT(tblHeading[[#This Row],[Heading]],"000"))</f>
        <v>A28-A50/346</v>
      </c>
    </row>
    <row r="9" spans="2:21" ht="18" x14ac:dyDescent="0.35">
      <c r="B9" s="24" t="s">
        <v>21</v>
      </c>
      <c r="C9" s="25" t="s">
        <v>29</v>
      </c>
      <c r="D9" s="26"/>
      <c r="F9" t="s">
        <v>39</v>
      </c>
      <c r="G9">
        <v>315</v>
      </c>
      <c r="H9">
        <v>104</v>
      </c>
      <c r="I9">
        <v>9</v>
      </c>
      <c r="J9">
        <v>5</v>
      </c>
      <c r="K9" s="29">
        <v>8.1999999999999993</v>
      </c>
      <c r="L9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2.2290843600289176</v>
      </c>
      <c r="M9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2.2290843600289176</v>
      </c>
      <c r="N9" s="1">
        <f>IF(tblHeading[[#This Row],[∆a]]="","",MOD(tblHeading[[#This Row],[d]]+tblHeading[[#This Row],[∆a]],360))</f>
        <v>317.22908436002893</v>
      </c>
      <c r="O9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100.98237707702697</v>
      </c>
      <c r="P9" s="17">
        <f>IF(tblHeading[[#This Row],[Vg]]="","",tblHeading[[#This Row],[Afstand]]/tblHeading[[#This Row],[Vg]]/24)</f>
        <v>3.3834286392966507E-3</v>
      </c>
      <c r="R9" t="str">
        <f>IF(tblHeading[[#This Row],[Heading]]="","",tblHeading[[#This Row],[Stap]])</f>
        <v>N50-IJssel</v>
      </c>
      <c r="S9" s="28">
        <f>IF(tblGraf[[#This Row],[Stap]]="",NA(),S8+tblHeading[[#This Row],[Afstand]]*COS((90-tblHeading[[#This Row],[d]])*PI()/180))</f>
        <v>-7.4354455680174762</v>
      </c>
      <c r="T9" s="28">
        <f>IF(tblGraf[[#This Row],[Stap]]="",NA(),T8+tblHeading[[#This Row],[Afstand]]*SIN(RADIANS(90-tblHeading[[#This Row],[d]])))</f>
        <v>20.399488307205115</v>
      </c>
      <c r="U9" t="str">
        <f>IF(tblGraf[[#This Row],[x]]=0,"",tblGraf[[#This Row],[Stap]]&amp; "/"&amp;TEXT(tblHeading[[#This Row],[Heading]],"000"))</f>
        <v>N50-IJssel/317</v>
      </c>
    </row>
    <row r="10" spans="2:21" x14ac:dyDescent="0.25">
      <c r="B10" s="18" t="s">
        <v>24</v>
      </c>
      <c r="C10" s="19" t="s">
        <v>30</v>
      </c>
      <c r="D10" s="20" t="s">
        <v>33</v>
      </c>
      <c r="E10" s="44" t="s">
        <v>49</v>
      </c>
      <c r="F10" t="s">
        <v>42</v>
      </c>
      <c r="G10">
        <v>315</v>
      </c>
      <c r="H10">
        <v>104</v>
      </c>
      <c r="I10">
        <v>10</v>
      </c>
      <c r="J10">
        <v>23</v>
      </c>
      <c r="K10" s="29">
        <v>26</v>
      </c>
      <c r="L10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10.437253713602992</v>
      </c>
      <c r="M10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10.437253713602992</v>
      </c>
      <c r="N10" s="1">
        <f>IF(tblHeading[[#This Row],[∆a]]="","",MOD(tblHeading[[#This Row],[d]]+tblHeading[[#This Row],[∆a]],360))</f>
        <v>325.43725371360301</v>
      </c>
      <c r="O10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89.086946458732015</v>
      </c>
      <c r="P10" s="17">
        <f>IF(tblHeading[[#This Row],[Vg]]="","",tblHeading[[#This Row],[Afstand]]/tblHeading[[#This Row],[Vg]]/24)</f>
        <v>1.2160404822441283E-2</v>
      </c>
      <c r="R10" t="str">
        <f>IF(tblHeading[[#This Row],[Heading]]="","",tblHeading[[#This Row],[Stap]])</f>
        <v>Stavoren</v>
      </c>
      <c r="S10" s="28">
        <f>IF(tblGraf[[#This Row],[Stap]]="",NA(),S9+tblHeading[[#This Row],[Afstand]]*COS((90-tblHeading[[#This Row],[d]])*PI()/180))</f>
        <v>-25.820221878867713</v>
      </c>
      <c r="T10" s="28">
        <f>IF(tblGraf[[#This Row],[Stap]]="",NA(),T9+tblHeading[[#This Row],[Afstand]]*SIN(RADIANS(90-tblHeading[[#This Row],[d]])))</f>
        <v>38.784264618055346</v>
      </c>
      <c r="U10" t="str">
        <f>IF(tblGraf[[#This Row],[x]]=0,"",tblGraf[[#This Row],[Stap]]&amp; "/"&amp;TEXT(tblHeading[[#This Row],[Heading]],"000"))</f>
        <v>Stavoren/325</v>
      </c>
    </row>
    <row r="11" spans="2:21" x14ac:dyDescent="0.25">
      <c r="B11" s="18" t="s">
        <v>31</v>
      </c>
      <c r="C11" s="19" t="s">
        <v>19</v>
      </c>
      <c r="D11" s="20"/>
      <c r="F11" t="s">
        <v>43</v>
      </c>
      <c r="G11">
        <v>285</v>
      </c>
      <c r="H11">
        <v>104</v>
      </c>
      <c r="I11">
        <v>12</v>
      </c>
      <c r="J11">
        <v>3</v>
      </c>
      <c r="K11" s="29">
        <v>12</v>
      </c>
      <c r="L11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1.65072617152075</v>
      </c>
      <c r="M11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1.65072617152075</v>
      </c>
      <c r="N11" s="1">
        <f>IF(tblHeading[[#This Row],[∆a]]="","",MOD(tblHeading[[#This Row],[d]]+tblHeading[[#This Row],[∆a]],360))</f>
        <v>286.65072617152077</v>
      </c>
      <c r="O11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103.79983246162578</v>
      </c>
      <c r="P11" s="17">
        <f>IF(tblHeading[[#This Row],[Vg]]="","",tblHeading[[#This Row],[Afstand]]/tblHeading[[#This Row],[Vg]]/24)</f>
        <v>4.8169634588268459E-3</v>
      </c>
      <c r="R11" t="str">
        <f>IF(tblHeading[[#This Row],[Heading]]="","",tblHeading[[#This Row],[Stap]])</f>
        <v>Sluis DenOever</v>
      </c>
      <c r="S11" s="28">
        <f>IF(tblGraf[[#This Row],[Stap]]="",NA(),S10+tblHeading[[#This Row],[Afstand]]*COS((90-tblHeading[[#This Row],[d]])*PI()/180))</f>
        <v>-37.411331794336533</v>
      </c>
      <c r="T11" s="28">
        <f>IF(tblGraf[[#This Row],[Stap]]="",NA(),T10+tblHeading[[#This Row],[Afstand]]*SIN(RADIANS(90-tblHeading[[#This Row],[d]])))</f>
        <v>41.890093159285598</v>
      </c>
      <c r="U11" t="str">
        <f>IF(tblGraf[[#This Row],[x]]=0,"",tblGraf[[#This Row],[Stap]]&amp; "/"&amp;TEXT(tblHeading[[#This Row],[Heading]],"000"))</f>
        <v>Sluis DenOever/287</v>
      </c>
    </row>
    <row r="12" spans="2:21" ht="18.75" thickBot="1" x14ac:dyDescent="0.4">
      <c r="B12" s="21" t="s">
        <v>23</v>
      </c>
      <c r="C12" s="22" t="s">
        <v>32</v>
      </c>
      <c r="D12" s="23"/>
      <c r="F12" t="s">
        <v>44</v>
      </c>
      <c r="G12">
        <v>325</v>
      </c>
      <c r="H12">
        <v>103</v>
      </c>
      <c r="I12">
        <v>13</v>
      </c>
      <c r="J12">
        <v>3</v>
      </c>
      <c r="K12" s="29">
        <v>8.1</v>
      </c>
      <c r="L12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1.2402637142993616</v>
      </c>
      <c r="M12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1.2402637142993616</v>
      </c>
      <c r="N12" s="1">
        <f>IF(tblHeading[[#This Row],[∆a]]="","",MOD(tblHeading[[#This Row],[d]]+tblHeading[[#This Row],[∆a]],360))</f>
        <v>326.24026371429937</v>
      </c>
      <c r="O12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100.96847730527359</v>
      </c>
      <c r="P12" s="17">
        <f>IF(tblHeading[[#This Row],[Vg]]="","",tblHeading[[#This Row],[Afstand]]/tblHeading[[#This Row],[Vg]]/24)</f>
        <v>3.3426274121138235E-3</v>
      </c>
      <c r="R12" t="str">
        <f>IF(tblHeading[[#This Row],[Heading]]="","",tblHeading[[#This Row],[Stap]])</f>
        <v>EHTX-A</v>
      </c>
      <c r="S12" s="28">
        <f>IF(tblGraf[[#This Row],[Stap]]="",NA(),S11+tblHeading[[#This Row],[Afstand]]*COS((90-tblHeading[[#This Row],[d]])*PI()/180))</f>
        <v>-42.057300928780009</v>
      </c>
      <c r="T12" s="28">
        <f>IF(tblGraf[[#This Row],[Stap]]="",NA(),T11+tblHeading[[#This Row],[Afstand]]*SIN(RADIANS(90-tblHeading[[#This Row],[d]])))</f>
        <v>48.525224718026429</v>
      </c>
      <c r="U12" t="str">
        <f>IF(tblGraf[[#This Row],[x]]=0,"",tblGraf[[#This Row],[Stap]]&amp; "/"&amp;TEXT(tblHeading[[#This Row],[Heading]],"000"))</f>
        <v>EHTX-A/326</v>
      </c>
    </row>
    <row r="13" spans="2:21" x14ac:dyDescent="0.25">
      <c r="F13" t="s">
        <v>45</v>
      </c>
      <c r="G13">
        <v>309</v>
      </c>
      <c r="H13">
        <v>90</v>
      </c>
      <c r="I13">
        <v>19</v>
      </c>
      <c r="J13">
        <v>8</v>
      </c>
      <c r="K13" s="29">
        <v>2.7</v>
      </c>
      <c r="L13" s="2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>4.7913978420469627</v>
      </c>
      <c r="M13" s="2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>4.7913978420469618</v>
      </c>
      <c r="N13" s="1">
        <f>IF(tblHeading[[#This Row],[∆a]]="","",MOD(tblHeading[[#This Row],[d]]+tblHeading[[#This Row],[∆a]],360))</f>
        <v>313.79139784204699</v>
      </c>
      <c r="O13" s="16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>86.949325850010737</v>
      </c>
      <c r="P13" s="17">
        <f>IF(tblHeading[[#This Row],[Vg]]="","",tblHeading[[#This Row],[Afstand]]/tblHeading[[#This Row],[Vg]]/24)</f>
        <v>1.2938570701981598E-3</v>
      </c>
      <c r="R13" t="str">
        <f>IF(tblHeading[[#This Row],[Heading]]="","",tblHeading[[#This Row],[Stap]])</f>
        <v>EHTX-B</v>
      </c>
      <c r="S13" s="28">
        <f>IF(tblGraf[[#This Row],[Stap]]="",NA(),S12+tblHeading[[#This Row],[Afstand]]*COS((90-tblHeading[[#This Row],[d]])*PI()/180))</f>
        <v>-44.155595024713833</v>
      </c>
      <c r="T13" s="28">
        <f>IF(tblGraf[[#This Row],[Stap]]="",NA(),T12+tblHeading[[#This Row],[Afstand]]*SIN(RADIANS(90-tblHeading[[#This Row],[d]])))</f>
        <v>50.224389773860992</v>
      </c>
      <c r="U13" t="str">
        <f>IF(tblGraf[[#This Row],[x]]=0,"",tblGraf[[#This Row],[Stap]]&amp; "/"&amp;TEXT(tblHeading[[#This Row],[Heading]],"000"))</f>
        <v>EHTX-B/314</v>
      </c>
    </row>
    <row r="14" spans="2:21" x14ac:dyDescent="0.25">
      <c r="F14">
        <v>9</v>
      </c>
      <c r="L14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4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4" s="1" t="str">
        <f>IF(tblHeading[[#This Row],[∆a]]="","",MOD(tblHeading[[#This Row],[d]]+tblHeading[[#This Row],[∆a]],360))</f>
        <v/>
      </c>
      <c r="O14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4" s="17" t="str">
        <f>IF(tblHeading[[#This Row],[Vg]]="","",tblHeading[[#This Row],[Afstand]]/tblHeading[[#This Row],[Vg]]/24)</f>
        <v/>
      </c>
      <c r="R14" t="str">
        <f>IF(tblHeading[[#This Row],[Heading]]="","",tblHeading[[#This Row],[Stap]])</f>
        <v/>
      </c>
      <c r="S14" s="28" t="e">
        <f>IF(tblGraf[[#This Row],[Stap]]="",NA(),S13+tblHeading[[#This Row],[Afstand]]*COS((90-tblHeading[[#This Row],[d]])*PI()/180))</f>
        <v>#N/A</v>
      </c>
      <c r="T14" s="28" t="e">
        <f>IF(tblGraf[[#This Row],[Stap]]="",NA(),T13+tblHeading[[#This Row],[Afstand]]*SIN(RADIANS(90-tblHeading[[#This Row],[d]])))</f>
        <v>#N/A</v>
      </c>
      <c r="U14" t="e">
        <f>IF(tblGraf[[#This Row],[x]]=0,"",tblGraf[[#This Row],[Stap]]&amp; "/"&amp;TEXT(tblHeading[[#This Row],[Heading]],"000"))</f>
        <v>#N/A</v>
      </c>
    </row>
    <row r="15" spans="2:21" x14ac:dyDescent="0.25">
      <c r="F15">
        <v>10</v>
      </c>
      <c r="L15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5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5" s="1" t="str">
        <f>IF(tblHeading[[#This Row],[∆a]]="","",MOD(tblHeading[[#This Row],[d]]+tblHeading[[#This Row],[∆a]],360))</f>
        <v/>
      </c>
      <c r="O15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5" s="17" t="str">
        <f>IF(tblHeading[[#This Row],[Vg]]="","",tblHeading[[#This Row],[Afstand]]/tblHeading[[#This Row],[Vg]]/24)</f>
        <v/>
      </c>
      <c r="R15" t="str">
        <f>IF(tblHeading[[#This Row],[Heading]]="","",tblHeading[[#This Row],[Stap]])</f>
        <v/>
      </c>
      <c r="S15" s="28" t="e">
        <f>IF(tblGraf[[#This Row],[Stap]]="",NA(),S14+tblHeading[[#This Row],[Afstand]]*COS((90-tblHeading[[#This Row],[d]])*PI()/180))</f>
        <v>#N/A</v>
      </c>
      <c r="T15" s="28" t="e">
        <f>IF(tblGraf[[#This Row],[Stap]]="",NA(),T14+tblHeading[[#This Row],[Afstand]]*SIN(RADIANS(90-tblHeading[[#This Row],[d]])))</f>
        <v>#N/A</v>
      </c>
      <c r="U15" t="e">
        <f>IF(tblGraf[[#This Row],[x]]=0,"",tblGraf[[#This Row],[Stap]]&amp; "/"&amp;TEXT(tblHeading[[#This Row],[Heading]],"000"))</f>
        <v>#N/A</v>
      </c>
    </row>
    <row r="16" spans="2:21" x14ac:dyDescent="0.25">
      <c r="F16">
        <v>11</v>
      </c>
      <c r="L16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6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6" s="1" t="str">
        <f>IF(tblHeading[[#This Row],[∆a]]="","",MOD(tblHeading[[#This Row],[d]]+tblHeading[[#This Row],[∆a]],360))</f>
        <v/>
      </c>
      <c r="O16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6" s="17" t="str">
        <f>IF(tblHeading[[#This Row],[Vg]]="","",tblHeading[[#This Row],[Afstand]]/tblHeading[[#This Row],[Vg]]/24)</f>
        <v/>
      </c>
      <c r="R16" t="str">
        <f>IF(tblHeading[[#This Row],[Heading]]="","",tblHeading[[#This Row],[Stap]])</f>
        <v/>
      </c>
      <c r="S16" s="28" t="e">
        <f>IF(tblGraf[[#This Row],[Stap]]="",NA(),S15+tblHeading[[#This Row],[Afstand]]*COS((90-tblHeading[[#This Row],[d]])*PI()/180))</f>
        <v>#N/A</v>
      </c>
      <c r="T16" s="28" t="e">
        <f>IF(tblGraf[[#This Row],[Stap]]="",NA(),T15+tblHeading[[#This Row],[Afstand]]*SIN(RADIANS(90-tblHeading[[#This Row],[d]])))</f>
        <v>#N/A</v>
      </c>
      <c r="U16" t="e">
        <f>IF(tblGraf[[#This Row],[x]]=0,"",tblGraf[[#This Row],[Stap]]&amp; "/"&amp;TEXT(tblHeading[[#This Row],[Heading]],"000"))</f>
        <v>#N/A</v>
      </c>
    </row>
    <row r="17" spans="6:21" x14ac:dyDescent="0.25">
      <c r="F17">
        <v>12</v>
      </c>
      <c r="L17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7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7" s="1" t="str">
        <f>IF(tblHeading[[#This Row],[∆a]]="","",MOD(tblHeading[[#This Row],[d]]+tblHeading[[#This Row],[∆a]],360))</f>
        <v/>
      </c>
      <c r="O17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7" s="17" t="str">
        <f>IF(tblHeading[[#This Row],[Vg]]="","",tblHeading[[#This Row],[Afstand]]/tblHeading[[#This Row],[Vg]]/24)</f>
        <v/>
      </c>
      <c r="R17" t="str">
        <f>IF(tblHeading[[#This Row],[Heading]]="","",tblHeading[[#This Row],[Stap]])</f>
        <v/>
      </c>
      <c r="S17" s="28" t="e">
        <f>IF(tblGraf[[#This Row],[Stap]]="",NA(),S16+tblHeading[[#This Row],[Afstand]]*COS((90-tblHeading[[#This Row],[d]])*PI()/180))</f>
        <v>#N/A</v>
      </c>
      <c r="T17" s="28" t="e">
        <f>IF(tblGraf[[#This Row],[Stap]]="",NA(),T16+tblHeading[[#This Row],[Afstand]]*SIN(RADIANS(90-tblHeading[[#This Row],[d]])))</f>
        <v>#N/A</v>
      </c>
      <c r="U17" t="e">
        <f>IF(tblGraf[[#This Row],[x]]=0,"",tblGraf[[#This Row],[Stap]]&amp; "/"&amp;TEXT(tblHeading[[#This Row],[Heading]],"000"))</f>
        <v>#N/A</v>
      </c>
    </row>
    <row r="18" spans="6:21" x14ac:dyDescent="0.25">
      <c r="F18">
        <v>13</v>
      </c>
      <c r="L18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8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8" s="1" t="str">
        <f>IF(tblHeading[[#This Row],[∆a]]="","",MOD(tblHeading[[#This Row],[d]]+tblHeading[[#This Row],[∆a]],360))</f>
        <v/>
      </c>
      <c r="O18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8" s="17" t="str">
        <f>IF(tblHeading[[#This Row],[Vg]]="","",tblHeading[[#This Row],[Afstand]]/tblHeading[[#This Row],[Vg]]/24)</f>
        <v/>
      </c>
      <c r="R18" t="str">
        <f>IF(tblHeading[[#This Row],[Heading]]="","",tblHeading[[#This Row],[Stap]])</f>
        <v/>
      </c>
      <c r="S18" s="28" t="e">
        <f>IF(tblGraf[[#This Row],[Stap]]="",NA(),S17+tblHeading[[#This Row],[Afstand]]*COS((90-tblHeading[[#This Row],[d]])*PI()/180))</f>
        <v>#N/A</v>
      </c>
      <c r="T18" s="28" t="e">
        <f>IF(tblGraf[[#This Row],[Stap]]="",NA(),T17+tblHeading[[#This Row],[Afstand]]*SIN(RADIANS(90-tblHeading[[#This Row],[d]])))</f>
        <v>#N/A</v>
      </c>
      <c r="U18" t="e">
        <f>IF(tblGraf[[#This Row],[x]]=0,"",tblGraf[[#This Row],[Stap]]&amp; "/"&amp;TEXT(tblHeading[[#This Row],[Heading]],"000"))</f>
        <v>#N/A</v>
      </c>
    </row>
    <row r="19" spans="6:21" x14ac:dyDescent="0.25">
      <c r="F19">
        <v>14</v>
      </c>
      <c r="L19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19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19" s="1" t="str">
        <f>IF(tblHeading[[#This Row],[∆a]]="","",MOD(tblHeading[[#This Row],[d]]+tblHeading[[#This Row],[∆a]],360))</f>
        <v/>
      </c>
      <c r="O19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19" s="17" t="str">
        <f>IF(tblHeading[[#This Row],[Vg]]="","",tblHeading[[#This Row],[Afstand]]/tblHeading[[#This Row],[Vg]]/24)</f>
        <v/>
      </c>
      <c r="R19" t="str">
        <f>IF(tblHeading[[#This Row],[Heading]]="","",tblHeading[[#This Row],[Stap]])</f>
        <v/>
      </c>
      <c r="S19" s="28" t="e">
        <f>IF(tblGraf[[#This Row],[Stap]]="",NA(),S18+tblHeading[[#This Row],[Afstand]]*COS((90-tblHeading[[#This Row],[d]])*PI()/180))</f>
        <v>#N/A</v>
      </c>
      <c r="T19" s="28" t="e">
        <f>IF(tblGraf[[#This Row],[Stap]]="",NA(),T18+tblHeading[[#This Row],[Afstand]]*SIN(RADIANS(90-tblHeading[[#This Row],[d]])))</f>
        <v>#N/A</v>
      </c>
      <c r="U19" t="e">
        <f>IF(tblGraf[[#This Row],[x]]=0,"",tblGraf[[#This Row],[Stap]]&amp; "/"&amp;TEXT(tblHeading[[#This Row],[Heading]],"000"))</f>
        <v>#N/A</v>
      </c>
    </row>
    <row r="20" spans="6:21" x14ac:dyDescent="0.25">
      <c r="F20">
        <v>15</v>
      </c>
      <c r="L20" s="2" t="str">
        <f>IF(OR(tblHeading[[#This Row],[d]]="",tblHeading[[#This Row],[Va]]="",tblHeading[[#This Row],[w]]="",tblHeading[[#This Row],[Vw]]=""),"",180/PI()*ASIN(tblHeading[[#This Row],[Vw]]*SIN(PI()*(tblHeading[[#This Row],[w]]-tblHeading[[#This Row],[d]])/180)/tblHeading[[#This Row],[Va]]))</f>
        <v/>
      </c>
      <c r="M20" s="2" t="str">
        <f>IF(OR(tblHeading[[#This Row],[d]]="",tblHeading[[#This Row],[Va]]="",tblHeading[[#This Row],[w]]="",tblHeading[[#This Row],[Vw]]=""),"",DEGREES(ASIN(tblHeading[[#This Row],[Vw]]*SIN(RADIANS(tblHeading[[#This Row],[w]]-tblHeading[[#This Row],[d]]))/tblHeading[[#This Row],[Va]])))</f>
        <v/>
      </c>
      <c r="N20" s="1" t="str">
        <f>IF(tblHeading[[#This Row],[∆a]]="","",MOD(tblHeading[[#This Row],[d]]+tblHeading[[#This Row],[∆a]],360))</f>
        <v/>
      </c>
      <c r="O20" s="16" t="str">
        <f>IF(tblHeading[[#This Row],[Heading]]="","",SQRT(tblHeading[[#This Row],[Va]]^2+tblHeading[[#This Row],[Vw]]^2-2*tblHeading[[#This Row],[Va]]*tblHeading[[#This Row],[Vw]]*COS(PI()*(tblHeading[[#This Row],[d]]-tblHeading[[#This Row],[w]]+tblHeading[[#This Row],[∆a]])/180)))</f>
        <v/>
      </c>
      <c r="P20" s="17" t="str">
        <f>IF(tblHeading[[#This Row],[Vg]]="","",tblHeading[[#This Row],[Afstand]]/tblHeading[[#This Row],[Vg]]/24)</f>
        <v/>
      </c>
      <c r="R20" t="str">
        <f>IF(tblHeading[[#This Row],[Heading]]="","",tblHeading[[#This Row],[Stap]])</f>
        <v/>
      </c>
      <c r="S20" s="28" t="e">
        <f>IF(tblGraf[[#This Row],[Stap]]="",NA(),S19+tblHeading[[#This Row],[Afstand]]*COS((90-tblHeading[[#This Row],[d]])*PI()/180))</f>
        <v>#N/A</v>
      </c>
      <c r="T20" s="28" t="e">
        <f>IF(tblGraf[[#This Row],[Stap]]="",NA(),T19+tblHeading[[#This Row],[Afstand]]*SIN(RADIANS(90-tblHeading[[#This Row],[d]])))</f>
        <v>#N/A</v>
      </c>
      <c r="U20" t="e">
        <f>IF(tblGraf[[#This Row],[x]]=0,"",tblGraf[[#This Row],[Stap]]&amp; "/"&amp;TEXT(tblHeading[[#This Row],[Heading]],"000"))</f>
        <v>#N/A</v>
      </c>
    </row>
    <row r="21" spans="6:21" x14ac:dyDescent="0.25">
      <c r="F21" t="s">
        <v>25</v>
      </c>
      <c r="K21">
        <f>SUBTOTAL(109,tblHeading[Afstand])</f>
        <v>72.599999999999994</v>
      </c>
      <c r="O21" s="16">
        <f>SUBTOTAL(101,tblHeading[Vg])</f>
        <v>96.459262128006898</v>
      </c>
      <c r="P21" s="17">
        <f>SUBTOTAL(109,tblHeading[Tijd])</f>
        <v>3.167370000022466E-2</v>
      </c>
    </row>
    <row r="23" spans="6:21" ht="15.75" thickBot="1" x14ac:dyDescent="0.3"/>
    <row r="24" spans="6:21" ht="15.75" thickBot="1" x14ac:dyDescent="0.3">
      <c r="S24" s="42" t="s">
        <v>48</v>
      </c>
      <c r="T24" s="43">
        <f>SQRT(T13^2+S13^2)</f>
        <v>66.874553457524073</v>
      </c>
    </row>
  </sheetData>
  <mergeCells count="2">
    <mergeCell ref="B5:D5"/>
    <mergeCell ref="I3:P3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4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9</vt:i4>
      </vt:variant>
    </vt:vector>
  </HeadingPairs>
  <TitlesOfParts>
    <vt:vector size="14" baseType="lpstr">
      <vt:lpstr>Voorblad</vt:lpstr>
      <vt:lpstr>KK</vt:lpstr>
      <vt:lpstr>Heading</vt:lpstr>
      <vt:lpstr>Route</vt:lpstr>
      <vt:lpstr>grafRoute</vt:lpstr>
      <vt:lpstr>Route!a</vt:lpstr>
      <vt:lpstr>a</vt:lpstr>
      <vt:lpstr>d</vt:lpstr>
      <vt:lpstr>Da</vt:lpstr>
      <vt:lpstr>Va</vt:lpstr>
      <vt:lpstr>Route!Vg</vt:lpstr>
      <vt:lpstr>Vg</vt:lpstr>
      <vt:lpstr>Vw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2021-02-12T10:14:36Z</dcterms:created>
  <dcterms:modified xsi:type="dcterms:W3CDTF">2021-04-28T14:52:33Z</dcterms:modified>
</cp:coreProperties>
</file>