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8_{99B1F67C-ACD5-4F14-BC22-51A27745EAC6}" xr6:coauthVersionLast="36" xr6:coauthVersionMax="36" xr10:uidLastSave="{00000000-0000-0000-0000-000000000000}"/>
  <bookViews>
    <workbookView xWindow="0" yWindow="0" windowWidth="28800" windowHeight="11805" xr2:uid="{0DB36529-B220-4442-B1AC-867B2213C4C0}"/>
  </bookViews>
  <sheets>
    <sheet name="Voorblad" sheetId="10" r:id="rId1"/>
    <sheet name="Bedrijf" sheetId="4" r:id="rId2"/>
    <sheet name="Basis" sheetId="9" r:id="rId3"/>
    <sheet name="Instel" sheetId="5" r:id="rId4"/>
    <sheet name="Data" sheetId="3" r:id="rId5"/>
    <sheet name="Berekeningen" sheetId="7" r:id="rId6"/>
    <sheet name="Ovz1" sheetId="6" r:id="rId7"/>
    <sheet name="Ovz2" sheetId="8" r:id="rId8"/>
  </sheets>
  <definedNames>
    <definedName name="BedrEmail">Bedrijf!$D$5</definedName>
    <definedName name="BedrNaam">Bedrijf!$C$2</definedName>
    <definedName name="BedrOpsteller">Bedrijf!$C$4</definedName>
    <definedName name="BedrWeb">Bedrijf!$D$3</definedName>
    <definedName name="Blokken">Berekeningen!$B$78</definedName>
    <definedName name="DataKol">tblDataInd[[Kolom]:[Naam]]</definedName>
    <definedName name="Dtm">Bedrijf!$C$6</definedName>
    <definedName name="DtmRef">Bedrijf!$D$10</definedName>
    <definedName name="GrafGeg">IF(SrtOvz="YtD",OFFSET(tblYoY[[#Headers],[Kol1]],14-MONTH(DtmRef),0,MONTH(DtmRef),20),OFFSET(tblYoY[[#Headers],[Kol1]],2,0,12,20))</definedName>
    <definedName name="KopRg">Bedrijf!$C$23</definedName>
    <definedName name="Mnden">tblData[Maand]</definedName>
    <definedName name="OpmDtm">Basis!$C$4</definedName>
    <definedName name="OpmNmn">tblOpmaak[Naam]</definedName>
    <definedName name="OvzBlokInd">Instel!$B$34</definedName>
    <definedName name="Slicer_Naam">#N/A</definedName>
    <definedName name="SrtOvz">Instel!$C$31</definedName>
    <definedName name="TkstOnderdelen">tblTkstOnderdelen[Onderdeel]</definedName>
    <definedName name="VanHrNaarDg">Basis!$I$6</definedName>
    <definedName name="VanMinNaarDg">Basis!$I$7</definedName>
    <definedName name="VanSecNaarDg">Basis!$I$8</definedName>
    <definedName name="VoetRg">Bedrijf!$G$23</definedName>
  </definedNames>
  <calcPr calcId="191029"/>
  <pivotCaches>
    <pivotCache cacheId="0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8" l="1"/>
  <c r="O11" i="8"/>
  <c r="N11" i="8"/>
  <c r="M11" i="8"/>
  <c r="K11" i="8"/>
  <c r="J11" i="8"/>
  <c r="H11" i="8"/>
  <c r="G11" i="8"/>
  <c r="E11" i="8"/>
  <c r="D11" i="8"/>
  <c r="H22" i="4" l="1"/>
  <c r="H20" i="4"/>
  <c r="D22" i="4"/>
  <c r="D20" i="4"/>
  <c r="D18" i="4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I7" i="9" l="1"/>
  <c r="I8" i="9" s="1"/>
  <c r="I6" i="9"/>
  <c r="C11" i="9"/>
  <c r="H14" i="4" s="1"/>
  <c r="C10" i="9"/>
  <c r="H18" i="4" s="1"/>
  <c r="C9" i="9"/>
  <c r="C8" i="9"/>
  <c r="D14" i="4" s="1"/>
  <c r="B13" i="8" l="1"/>
  <c r="B14" i="8"/>
  <c r="B15" i="8"/>
  <c r="B16" i="8"/>
  <c r="B17" i="8"/>
  <c r="B18" i="8"/>
  <c r="B19" i="8"/>
  <c r="B20" i="8"/>
  <c r="B21" i="8"/>
  <c r="B12" i="8"/>
  <c r="B8" i="8"/>
  <c r="E36" i="5" l="1"/>
  <c r="D36" i="5"/>
  <c r="C36" i="5"/>
  <c r="D10" i="4"/>
  <c r="C12" i="9" s="1"/>
  <c r="D16" i="4" s="1"/>
  <c r="D100" i="7" l="1"/>
  <c r="F102" i="7" s="1"/>
  <c r="F103" i="7" l="1"/>
  <c r="F104" i="7" s="1"/>
  <c r="B8" i="6"/>
  <c r="B28" i="6" l="1"/>
  <c r="B27" i="8"/>
  <c r="D101" i="7"/>
  <c r="J83" i="7"/>
  <c r="J82" i="7"/>
  <c r="D79" i="7"/>
  <c r="F79" i="7"/>
  <c r="H79" i="7"/>
  <c r="M6" i="6" l="1"/>
  <c r="M6" i="8"/>
  <c r="M7" i="6"/>
  <c r="M7" i="8"/>
  <c r="F101" i="7"/>
  <c r="E101" i="7"/>
  <c r="H80" i="7"/>
  <c r="F80" i="7"/>
  <c r="D80" i="7"/>
  <c r="D4" i="8" s="1"/>
  <c r="C82" i="7"/>
  <c r="C83" i="7"/>
  <c r="C81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G4" i="6" l="1"/>
  <c r="G4" i="8"/>
  <c r="J4" i="6"/>
  <c r="J4" i="8"/>
  <c r="B5" i="6"/>
  <c r="B5" i="8"/>
  <c r="B7" i="6"/>
  <c r="B7" i="8"/>
  <c r="B6" i="6"/>
  <c r="B6" i="8"/>
  <c r="D4" i="6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28" i="7"/>
  <c r="C29" i="7"/>
  <c r="C30" i="7"/>
  <c r="C31" i="7"/>
  <c r="C32" i="7"/>
  <c r="C33" i="7"/>
  <c r="C34" i="7"/>
  <c r="C35" i="7"/>
  <c r="C36" i="7"/>
  <c r="C21" i="7" l="1"/>
  <c r="C22" i="7"/>
  <c r="C23" i="7"/>
  <c r="C24" i="7"/>
  <c r="C25" i="7"/>
  <c r="C26" i="7"/>
  <c r="C27" i="7"/>
  <c r="N2" i="7" a="1"/>
  <c r="T2" i="7" s="1"/>
  <c r="D2" i="7" a="1"/>
  <c r="I2" i="7" s="1"/>
  <c r="D84" i="7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5" i="3"/>
  <c r="D3" i="3"/>
  <c r="N3" i="3" s="1"/>
  <c r="E3" i="3"/>
  <c r="O3" i="3" s="1"/>
  <c r="F3" i="3"/>
  <c r="P3" i="3" s="1"/>
  <c r="G3" i="3"/>
  <c r="Q3" i="3" s="1"/>
  <c r="H3" i="3"/>
  <c r="R3" i="3" s="1"/>
  <c r="I3" i="3"/>
  <c r="S3" i="3" s="1"/>
  <c r="J3" i="3"/>
  <c r="T3" i="3" s="1"/>
  <c r="K3" i="3"/>
  <c r="U3" i="3" s="1"/>
  <c r="L3" i="3"/>
  <c r="V3" i="3" s="1"/>
  <c r="C3" i="3"/>
  <c r="M3" i="3" s="1"/>
  <c r="C11" i="7" l="1"/>
  <c r="N11" i="7" s="1"/>
  <c r="C12" i="7"/>
  <c r="C10" i="7"/>
  <c r="L10" i="7" s="1"/>
  <c r="C9" i="7"/>
  <c r="W9" i="7" s="1"/>
  <c r="C16" i="7"/>
  <c r="D16" i="7" s="1"/>
  <c r="C8" i="7"/>
  <c r="K8" i="7" s="1"/>
  <c r="C4" i="7"/>
  <c r="E4" i="7" s="1"/>
  <c r="E43" i="7" s="1"/>
  <c r="E63" i="7" s="1"/>
  <c r="G13" i="8" s="1"/>
  <c r="C7" i="7"/>
  <c r="C14" i="7"/>
  <c r="K14" i="7" s="1"/>
  <c r="C6" i="7"/>
  <c r="C15" i="7"/>
  <c r="O15" i="7" s="1"/>
  <c r="C13" i="7"/>
  <c r="C5" i="7"/>
  <c r="E5" i="7" s="1"/>
  <c r="S12" i="7"/>
  <c r="U9" i="7"/>
  <c r="D10" i="7"/>
  <c r="F10" i="7"/>
  <c r="H10" i="7"/>
  <c r="J10" i="7"/>
  <c r="P10" i="7"/>
  <c r="R10" i="7"/>
  <c r="T10" i="7"/>
  <c r="V10" i="7"/>
  <c r="F9" i="7"/>
  <c r="H9" i="7"/>
  <c r="J9" i="7"/>
  <c r="N9" i="7"/>
  <c r="P9" i="7"/>
  <c r="K11" i="7"/>
  <c r="N15" i="7"/>
  <c r="Q11" i="7"/>
  <c r="S11" i="7"/>
  <c r="E10" i="7"/>
  <c r="G10" i="7"/>
  <c r="I10" i="7"/>
  <c r="K10" i="7"/>
  <c r="M10" i="7"/>
  <c r="N14" i="7"/>
  <c r="N6" i="7"/>
  <c r="O10" i="7"/>
  <c r="Q10" i="7"/>
  <c r="S10" i="7"/>
  <c r="U10" i="7"/>
  <c r="U2" i="7"/>
  <c r="N2" i="7"/>
  <c r="V2" i="7"/>
  <c r="O2" i="7"/>
  <c r="W2" i="7"/>
  <c r="P2" i="7"/>
  <c r="R2" i="7"/>
  <c r="S2" i="7"/>
  <c r="Q2" i="7"/>
  <c r="J2" i="7"/>
  <c r="H2" i="7"/>
  <c r="G2" i="7"/>
  <c r="F2" i="7"/>
  <c r="M2" i="7"/>
  <c r="E2" i="7"/>
  <c r="L2" i="7"/>
  <c r="D2" i="7"/>
  <c r="K2" i="7"/>
  <c r="R5" i="7" l="1"/>
  <c r="J15" i="7"/>
  <c r="J42" i="7" s="1"/>
  <c r="J62" i="7" s="1"/>
  <c r="E18" i="8" s="1"/>
  <c r="H15" i="7"/>
  <c r="H42" i="7" s="1"/>
  <c r="H62" i="7" s="1"/>
  <c r="E16" i="8" s="1"/>
  <c r="L9" i="7"/>
  <c r="N10" i="7"/>
  <c r="I9" i="7"/>
  <c r="O9" i="7"/>
  <c r="G11" i="7"/>
  <c r="U11" i="7"/>
  <c r="M11" i="7"/>
  <c r="R11" i="7"/>
  <c r="G15" i="7"/>
  <c r="G42" i="7" s="1"/>
  <c r="G62" i="7" s="1"/>
  <c r="E15" i="8" s="1"/>
  <c r="R15" i="7"/>
  <c r="F15" i="7"/>
  <c r="D95" i="7" s="1"/>
  <c r="W15" i="7"/>
  <c r="S8" i="7"/>
  <c r="Q9" i="7"/>
  <c r="T11" i="7"/>
  <c r="U15" i="7"/>
  <c r="P5" i="7"/>
  <c r="P15" i="7"/>
  <c r="E112" i="7" s="1"/>
  <c r="T9" i="7"/>
  <c r="I15" i="7"/>
  <c r="I42" i="7" s="1"/>
  <c r="I62" i="7" s="1"/>
  <c r="E17" i="8" s="1"/>
  <c r="G14" i="7"/>
  <c r="F8" i="7"/>
  <c r="D8" i="7"/>
  <c r="N8" i="7"/>
  <c r="P11" i="7"/>
  <c r="N5" i="7"/>
  <c r="L14" i="7"/>
  <c r="I11" i="7"/>
  <c r="D11" i="7"/>
  <c r="J11" i="7"/>
  <c r="E8" i="7"/>
  <c r="J14" i="7"/>
  <c r="I8" i="7"/>
  <c r="P8" i="7"/>
  <c r="O11" i="7"/>
  <c r="H11" i="7"/>
  <c r="V7" i="7"/>
  <c r="C104" i="7"/>
  <c r="R9" i="7"/>
  <c r="D9" i="7"/>
  <c r="V5" i="7"/>
  <c r="C102" i="7"/>
  <c r="J8" i="7"/>
  <c r="C105" i="7"/>
  <c r="V13" i="7"/>
  <c r="C110" i="7"/>
  <c r="V16" i="7"/>
  <c r="L44" i="7" s="1"/>
  <c r="L64" i="7" s="1"/>
  <c r="H20" i="8" s="1"/>
  <c r="C113" i="7"/>
  <c r="V15" i="7"/>
  <c r="C112" i="7"/>
  <c r="V9" i="7"/>
  <c r="C106" i="7"/>
  <c r="W10" i="7"/>
  <c r="C107" i="7"/>
  <c r="V6" i="7"/>
  <c r="C103" i="7"/>
  <c r="W12" i="7"/>
  <c r="C109" i="7"/>
  <c r="V14" i="7"/>
  <c r="C111" i="7"/>
  <c r="W11" i="7"/>
  <c r="C108" i="7"/>
  <c r="F11" i="7"/>
  <c r="R12" i="7"/>
  <c r="F14" i="7"/>
  <c r="E11" i="7"/>
  <c r="V11" i="7"/>
  <c r="T14" i="7"/>
  <c r="S14" i="7"/>
  <c r="D14" i="7"/>
  <c r="D90" i="7" s="1"/>
  <c r="D41" i="7"/>
  <c r="D61" i="7" s="1"/>
  <c r="D12" i="8" s="1"/>
  <c r="I14" i="7"/>
  <c r="R14" i="7"/>
  <c r="E107" i="7" s="1"/>
  <c r="Q14" i="7"/>
  <c r="P14" i="7"/>
  <c r="O14" i="7"/>
  <c r="H14" i="7"/>
  <c r="D107" i="7" s="1"/>
  <c r="W14" i="7"/>
  <c r="R16" i="7"/>
  <c r="H44" i="7" s="1"/>
  <c r="H64" i="7" s="1"/>
  <c r="H16" i="8" s="1"/>
  <c r="W13" i="7"/>
  <c r="F5" i="7"/>
  <c r="H13" i="7"/>
  <c r="T8" i="7"/>
  <c r="R6" i="7"/>
  <c r="L6" i="7"/>
  <c r="U14" i="7"/>
  <c r="M14" i="7"/>
  <c r="E14" i="7"/>
  <c r="S16" i="7"/>
  <c r="I44" i="7" s="1"/>
  <c r="I64" i="7" s="1"/>
  <c r="H17" i="8" s="1"/>
  <c r="L11" i="7"/>
  <c r="T16" i="7"/>
  <c r="J44" i="7" s="1"/>
  <c r="J64" i="7" s="1"/>
  <c r="H18" i="8" s="1"/>
  <c r="N12" i="7"/>
  <c r="Q12" i="7"/>
  <c r="L12" i="7"/>
  <c r="J12" i="7"/>
  <c r="T15" i="7"/>
  <c r="L15" i="7"/>
  <c r="L42" i="7" s="1"/>
  <c r="L62" i="7" s="1"/>
  <c r="E20" i="8" s="1"/>
  <c r="D15" i="7"/>
  <c r="H91" i="7" s="1"/>
  <c r="M15" i="7"/>
  <c r="M42" i="7" s="1"/>
  <c r="M62" i="7" s="1"/>
  <c r="E21" i="8" s="1"/>
  <c r="M9" i="7"/>
  <c r="O12" i="7"/>
  <c r="F12" i="7"/>
  <c r="G9" i="7"/>
  <c r="E9" i="7"/>
  <c r="U6" i="7"/>
  <c r="K15" i="7"/>
  <c r="K42" i="7" s="1"/>
  <c r="K62" i="7" s="1"/>
  <c r="E19" i="8" s="1"/>
  <c r="H12" i="7"/>
  <c r="M12" i="7"/>
  <c r="D12" i="7"/>
  <c r="G12" i="7"/>
  <c r="M6" i="7"/>
  <c r="V12" i="7"/>
  <c r="K12" i="7"/>
  <c r="F6" i="7"/>
  <c r="E6" i="7"/>
  <c r="T12" i="7"/>
  <c r="E12" i="7"/>
  <c r="Q15" i="7"/>
  <c r="S9" i="7"/>
  <c r="U12" i="7"/>
  <c r="P12" i="7"/>
  <c r="I12" i="7"/>
  <c r="Q6" i="7"/>
  <c r="W5" i="7"/>
  <c r="O5" i="7"/>
  <c r="K6" i="7"/>
  <c r="H5" i="7"/>
  <c r="U5" i="7"/>
  <c r="M5" i="7"/>
  <c r="O6" i="7"/>
  <c r="P6" i="7"/>
  <c r="I6" i="7"/>
  <c r="L5" i="7"/>
  <c r="J6" i="7"/>
  <c r="T6" i="7"/>
  <c r="D6" i="7"/>
  <c r="S5" i="7"/>
  <c r="K5" i="7"/>
  <c r="S6" i="7"/>
  <c r="D5" i="7"/>
  <c r="T5" i="7"/>
  <c r="H6" i="7"/>
  <c r="Q5" i="7"/>
  <c r="I5" i="7"/>
  <c r="W6" i="7"/>
  <c r="G6" i="7"/>
  <c r="J5" i="7"/>
  <c r="U13" i="7"/>
  <c r="O13" i="7"/>
  <c r="M7" i="7"/>
  <c r="Q16" i="7"/>
  <c r="G44" i="7" s="1"/>
  <c r="G64" i="7" s="1"/>
  <c r="H15" i="8" s="1"/>
  <c r="P13" i="7"/>
  <c r="E13" i="7"/>
  <c r="M16" i="7"/>
  <c r="M41" i="7" s="1"/>
  <c r="E16" i="7"/>
  <c r="F96" i="7" s="1"/>
  <c r="N13" i="7"/>
  <c r="R7" i="7"/>
  <c r="Q13" i="7"/>
  <c r="K13" i="7"/>
  <c r="I16" i="7"/>
  <c r="I41" i="7" s="1"/>
  <c r="I61" i="7" s="1"/>
  <c r="D17" i="8" s="1"/>
  <c r="K7" i="7"/>
  <c r="O16" i="7"/>
  <c r="F16" i="7"/>
  <c r="D96" i="7" s="1"/>
  <c r="L7" i="7"/>
  <c r="I7" i="7"/>
  <c r="F7" i="7"/>
  <c r="J13" i="7"/>
  <c r="I13" i="7"/>
  <c r="U7" i="7"/>
  <c r="I4" i="7"/>
  <c r="I43" i="7" s="1"/>
  <c r="I63" i="7" s="1"/>
  <c r="G17" i="8" s="1"/>
  <c r="G7" i="7"/>
  <c r="K16" i="7"/>
  <c r="K41" i="7" s="1"/>
  <c r="K61" i="7" s="1"/>
  <c r="D19" i="8" s="1"/>
  <c r="F13" i="7"/>
  <c r="S13" i="7"/>
  <c r="S7" i="7"/>
  <c r="N4" i="7"/>
  <c r="P7" i="7"/>
  <c r="T13" i="7"/>
  <c r="L13" i="7"/>
  <c r="T7" i="7"/>
  <c r="D7" i="7"/>
  <c r="M4" i="7"/>
  <c r="M43" i="7" s="1"/>
  <c r="M63" i="7" s="1"/>
  <c r="G21" i="8" s="1"/>
  <c r="N7" i="7"/>
  <c r="M13" i="7"/>
  <c r="G5" i="7"/>
  <c r="Q7" i="7"/>
  <c r="S15" i="7"/>
  <c r="E15" i="7"/>
  <c r="F95" i="7" s="1"/>
  <c r="K9" i="7"/>
  <c r="W16" i="7"/>
  <c r="M44" i="7" s="1"/>
  <c r="M64" i="7" s="1"/>
  <c r="H21" i="8" s="1"/>
  <c r="H16" i="7"/>
  <c r="H41" i="7" s="1"/>
  <c r="H61" i="7" s="1"/>
  <c r="D16" i="8" s="1"/>
  <c r="D13" i="7"/>
  <c r="O8" i="7"/>
  <c r="N16" i="7"/>
  <c r="D44" i="7" s="1"/>
  <c r="D64" i="7" s="1"/>
  <c r="H12" i="8" s="1"/>
  <c r="E7" i="7"/>
  <c r="W7" i="7"/>
  <c r="J7" i="7"/>
  <c r="R13" i="7"/>
  <c r="U4" i="7"/>
  <c r="H7" i="7"/>
  <c r="G13" i="7"/>
  <c r="O7" i="7"/>
  <c r="E104" i="7" s="1"/>
  <c r="L4" i="7"/>
  <c r="L43" i="7" s="1"/>
  <c r="L63" i="7" s="1"/>
  <c r="G20" i="8" s="1"/>
  <c r="U16" i="7"/>
  <c r="K44" i="7" s="1"/>
  <c r="K64" i="7" s="1"/>
  <c r="H19" i="8" s="1"/>
  <c r="H4" i="7"/>
  <c r="H43" i="7" s="1"/>
  <c r="H63" i="7" s="1"/>
  <c r="G16" i="8" s="1"/>
  <c r="Q4" i="7"/>
  <c r="O4" i="7"/>
  <c r="W8" i="7"/>
  <c r="M8" i="7"/>
  <c r="L8" i="7"/>
  <c r="V8" i="7"/>
  <c r="H8" i="7"/>
  <c r="U8" i="7"/>
  <c r="G8" i="7"/>
  <c r="R8" i="7"/>
  <c r="Q8" i="7"/>
  <c r="P4" i="7"/>
  <c r="R4" i="7"/>
  <c r="J16" i="7"/>
  <c r="J41" i="7" s="1"/>
  <c r="J61" i="7" s="1"/>
  <c r="D18" i="8" s="1"/>
  <c r="L16" i="7"/>
  <c r="L41" i="7" s="1"/>
  <c r="L61" i="7" s="1"/>
  <c r="D20" i="8" s="1"/>
  <c r="G16" i="7"/>
  <c r="G41" i="7" s="1"/>
  <c r="G61" i="7" s="1"/>
  <c r="D15" i="8" s="1"/>
  <c r="P16" i="7"/>
  <c r="F44" i="7" s="1"/>
  <c r="F64" i="7" s="1"/>
  <c r="H14" i="8" s="1"/>
  <c r="F4" i="7"/>
  <c r="F43" i="7" s="1"/>
  <c r="F63" i="7" s="1"/>
  <c r="G14" i="8" s="1"/>
  <c r="D4" i="7"/>
  <c r="D43" i="7" s="1"/>
  <c r="D63" i="7" s="1"/>
  <c r="G12" i="8" s="1"/>
  <c r="K4" i="7"/>
  <c r="K43" i="7" s="1"/>
  <c r="K63" i="7" s="1"/>
  <c r="G19" i="8" s="1"/>
  <c r="G4" i="7"/>
  <c r="G43" i="7" s="1"/>
  <c r="G63" i="7" s="1"/>
  <c r="G15" i="8" s="1"/>
  <c r="V4" i="7"/>
  <c r="S4" i="7"/>
  <c r="J4" i="7"/>
  <c r="J43" i="7" s="1"/>
  <c r="J63" i="7" s="1"/>
  <c r="G18" i="8" s="1"/>
  <c r="T4" i="7"/>
  <c r="W4" i="7"/>
  <c r="E106" i="7" l="1"/>
  <c r="E105" i="7"/>
  <c r="H96" i="7"/>
  <c r="E111" i="7"/>
  <c r="E110" i="7"/>
  <c r="F42" i="7"/>
  <c r="F62" i="7" s="1"/>
  <c r="E14" i="8" s="1"/>
  <c r="D85" i="7"/>
  <c r="E108" i="7"/>
  <c r="E109" i="7"/>
  <c r="D105" i="7"/>
  <c r="E102" i="7"/>
  <c r="D104" i="7"/>
  <c r="D102" i="7"/>
  <c r="F85" i="7"/>
  <c r="E103" i="7"/>
  <c r="D108" i="7"/>
  <c r="E44" i="7"/>
  <c r="E64" i="7" s="1"/>
  <c r="H13" i="8" s="1"/>
  <c r="E113" i="7"/>
  <c r="D86" i="7"/>
  <c r="D106" i="7"/>
  <c r="H85" i="7"/>
  <c r="D103" i="7"/>
  <c r="D113" i="7"/>
  <c r="H86" i="7"/>
  <c r="D110" i="7"/>
  <c r="H93" i="7"/>
  <c r="D112" i="7"/>
  <c r="H95" i="7"/>
  <c r="F89" i="7"/>
  <c r="F94" i="7"/>
  <c r="D88" i="7"/>
  <c r="D93" i="7"/>
  <c r="D48" i="7"/>
  <c r="D87" i="7"/>
  <c r="D92" i="7"/>
  <c r="F86" i="7"/>
  <c r="F87" i="7"/>
  <c r="F92" i="7"/>
  <c r="D109" i="7"/>
  <c r="H92" i="7"/>
  <c r="D89" i="7"/>
  <c r="D94" i="7"/>
  <c r="F88" i="7"/>
  <c r="F93" i="7"/>
  <c r="D111" i="7"/>
  <c r="H94" i="7"/>
  <c r="H87" i="7"/>
  <c r="H89" i="7"/>
  <c r="H88" i="7"/>
  <c r="I49" i="7"/>
  <c r="D42" i="7"/>
  <c r="D62" i="7" s="1"/>
  <c r="E12" i="8" s="1"/>
  <c r="H90" i="7"/>
  <c r="F41" i="7"/>
  <c r="D91" i="7"/>
  <c r="E41" i="7"/>
  <c r="F91" i="7"/>
  <c r="E42" i="7"/>
  <c r="E62" i="7" s="1"/>
  <c r="E13" i="8" s="1"/>
  <c r="F90" i="7"/>
  <c r="D49" i="7"/>
  <c r="M49" i="7"/>
  <c r="M69" i="7" s="1"/>
  <c r="O21" i="8" s="1"/>
  <c r="J49" i="7"/>
  <c r="K49" i="7"/>
  <c r="F50" i="7"/>
  <c r="J50" i="7"/>
  <c r="D50" i="7"/>
  <c r="F49" i="7"/>
  <c r="I50" i="7"/>
  <c r="L50" i="7"/>
  <c r="E49" i="7"/>
  <c r="G48" i="7"/>
  <c r="E50" i="7"/>
  <c r="H48" i="7"/>
  <c r="M50" i="7"/>
  <c r="M70" i="7" s="1"/>
  <c r="P21" i="8" s="1"/>
  <c r="G49" i="7"/>
  <c r="K50" i="7"/>
  <c r="H50" i="7"/>
  <c r="D46" i="7"/>
  <c r="D66" i="7" s="1"/>
  <c r="K12" i="8" s="1"/>
  <c r="L48" i="7"/>
  <c r="L49" i="7"/>
  <c r="H47" i="7"/>
  <c r="H67" i="7" s="1"/>
  <c r="M16" i="8" s="1"/>
  <c r="H46" i="7"/>
  <c r="H66" i="7" s="1"/>
  <c r="K16" i="8" s="1"/>
  <c r="H45" i="7"/>
  <c r="H65" i="7" s="1"/>
  <c r="J16" i="8" s="1"/>
  <c r="I47" i="7"/>
  <c r="I67" i="7" s="1"/>
  <c r="M17" i="8" s="1"/>
  <c r="I46" i="7"/>
  <c r="I66" i="7" s="1"/>
  <c r="K17" i="8" s="1"/>
  <c r="I45" i="7"/>
  <c r="I65" i="7" s="1"/>
  <c r="J17" i="8" s="1"/>
  <c r="H49" i="7"/>
  <c r="I48" i="7"/>
  <c r="G50" i="7"/>
  <c r="G47" i="7"/>
  <c r="G67" i="7" s="1"/>
  <c r="M15" i="8" s="1"/>
  <c r="G46" i="7"/>
  <c r="G66" i="7" s="1"/>
  <c r="K15" i="8" s="1"/>
  <c r="G45" i="7"/>
  <c r="G65" i="7" s="1"/>
  <c r="J15" i="8" s="1"/>
  <c r="E48" i="7"/>
  <c r="K48" i="7"/>
  <c r="M48" i="7"/>
  <c r="M68" i="7" s="1"/>
  <c r="N21" i="8" s="1"/>
  <c r="K46" i="7"/>
  <c r="K66" i="7" s="1"/>
  <c r="K19" i="8" s="1"/>
  <c r="K47" i="7"/>
  <c r="K67" i="7" s="1"/>
  <c r="M19" i="8" s="1"/>
  <c r="K45" i="7"/>
  <c r="K65" i="7" s="1"/>
  <c r="J19" i="8" s="1"/>
  <c r="M45" i="7"/>
  <c r="M65" i="7" s="1"/>
  <c r="J21" i="8" s="1"/>
  <c r="M47" i="7"/>
  <c r="M67" i="7" s="1"/>
  <c r="M21" i="8" s="1"/>
  <c r="M46" i="7"/>
  <c r="M66" i="7" s="1"/>
  <c r="K21" i="8" s="1"/>
  <c r="M61" i="7"/>
  <c r="D21" i="8" s="1"/>
  <c r="D47" i="7"/>
  <c r="D67" i="7" s="1"/>
  <c r="M12" i="8" s="1"/>
  <c r="J48" i="7"/>
  <c r="L45" i="7"/>
  <c r="L65" i="7" s="1"/>
  <c r="J20" i="8" s="1"/>
  <c r="L47" i="7"/>
  <c r="L67" i="7" s="1"/>
  <c r="M20" i="8" s="1"/>
  <c r="L46" i="7"/>
  <c r="L66" i="7" s="1"/>
  <c r="K20" i="8" s="1"/>
  <c r="J45" i="7"/>
  <c r="J65" i="7" s="1"/>
  <c r="J18" i="8" s="1"/>
  <c r="J47" i="7"/>
  <c r="J67" i="7" s="1"/>
  <c r="M18" i="8" s="1"/>
  <c r="J46" i="7"/>
  <c r="J66" i="7" s="1"/>
  <c r="K18" i="8" s="1"/>
  <c r="F48" i="7"/>
  <c r="C6" i="4"/>
  <c r="C13" i="9" s="1"/>
  <c r="H16" i="4" s="1"/>
  <c r="C8" i="4"/>
  <c r="D5" i="4"/>
  <c r="D3" i="4"/>
  <c r="E46" i="7" l="1"/>
  <c r="E66" i="7" s="1"/>
  <c r="K13" i="8" s="1"/>
  <c r="E61" i="7"/>
  <c r="D13" i="8" s="1"/>
  <c r="F47" i="7"/>
  <c r="F67" i="7" s="1"/>
  <c r="M14" i="8" s="1"/>
  <c r="F61" i="7"/>
  <c r="D14" i="8" s="1"/>
  <c r="I69" i="7"/>
  <c r="O17" i="8" s="1"/>
  <c r="I68" i="7"/>
  <c r="N17" i="8" s="1"/>
  <c r="H68" i="7"/>
  <c r="N16" i="8" s="1"/>
  <c r="J70" i="7"/>
  <c r="P18" i="8" s="1"/>
  <c r="H69" i="7"/>
  <c r="O16" i="8" s="1"/>
  <c r="E70" i="7"/>
  <c r="P13" i="8" s="1"/>
  <c r="F70" i="7"/>
  <c r="P14" i="8" s="1"/>
  <c r="F69" i="7"/>
  <c r="O14" i="8" s="1"/>
  <c r="G70" i="7"/>
  <c r="P15" i="8" s="1"/>
  <c r="E68" i="7"/>
  <c r="N13" i="8" s="1"/>
  <c r="G68" i="7"/>
  <c r="N15" i="8" s="1"/>
  <c r="E69" i="7"/>
  <c r="O13" i="8" s="1"/>
  <c r="J69" i="7"/>
  <c r="O18" i="8" s="1"/>
  <c r="H70" i="7"/>
  <c r="P16" i="8" s="1"/>
  <c r="F68" i="7"/>
  <c r="N14" i="8" s="1"/>
  <c r="I70" i="7"/>
  <c r="P17" i="8" s="1"/>
  <c r="D69" i="7"/>
  <c r="O12" i="8" s="1"/>
  <c r="J68" i="7"/>
  <c r="N18" i="8" s="1"/>
  <c r="G69" i="7"/>
  <c r="O15" i="8" s="1"/>
  <c r="D70" i="7"/>
  <c r="P12" i="8" s="1"/>
  <c r="D68" i="7"/>
  <c r="N12" i="8" s="1"/>
  <c r="K69" i="7"/>
  <c r="O19" i="8" s="1"/>
  <c r="K68" i="7"/>
  <c r="N19" i="8" s="1"/>
  <c r="K70" i="7"/>
  <c r="P19" i="8" s="1"/>
  <c r="L69" i="7"/>
  <c r="O20" i="8" s="1"/>
  <c r="L68" i="7"/>
  <c r="N20" i="8" s="1"/>
  <c r="L70" i="7"/>
  <c r="P20" i="8" s="1"/>
  <c r="H82" i="7"/>
  <c r="J6" i="8" s="1"/>
  <c r="E82" i="7"/>
  <c r="I82" i="7"/>
  <c r="H81" i="7"/>
  <c r="F46" i="7"/>
  <c r="F66" i="7" s="1"/>
  <c r="K14" i="8" s="1"/>
  <c r="F45" i="7"/>
  <c r="F65" i="7" s="1"/>
  <c r="J14" i="8" s="1"/>
  <c r="E45" i="7"/>
  <c r="E65" i="7" s="1"/>
  <c r="J13" i="8" s="1"/>
  <c r="E47" i="7"/>
  <c r="E67" i="7" s="1"/>
  <c r="M13" i="8" s="1"/>
  <c r="D45" i="7"/>
  <c r="D65" i="7" s="1"/>
  <c r="J12" i="8" s="1"/>
  <c r="I83" i="7" l="1"/>
  <c r="F83" i="7"/>
  <c r="G7" i="8" s="1"/>
  <c r="E83" i="7"/>
  <c r="E7" i="6" s="1"/>
  <c r="H83" i="7"/>
  <c r="J7" i="6" s="1"/>
  <c r="D83" i="7"/>
  <c r="D7" i="8" s="1"/>
  <c r="J6" i="6"/>
  <c r="F81" i="7"/>
  <c r="G5" i="6" s="1"/>
  <c r="D82" i="7"/>
  <c r="D6" i="8" s="1"/>
  <c r="G82" i="7"/>
  <c r="H6" i="6" s="1"/>
  <c r="D81" i="7"/>
  <c r="D5" i="6" s="1"/>
  <c r="J5" i="6"/>
  <c r="J5" i="8"/>
  <c r="K6" i="6"/>
  <c r="K6" i="8"/>
  <c r="E6" i="6"/>
  <c r="E6" i="8"/>
  <c r="K7" i="6"/>
  <c r="K7" i="8"/>
  <c r="G83" i="7"/>
  <c r="F82" i="7"/>
  <c r="G23" i="4"/>
  <c r="C23" i="4"/>
  <c r="G7" i="6" l="1"/>
  <c r="E7" i="8"/>
  <c r="J7" i="8"/>
  <c r="D7" i="6"/>
  <c r="D6" i="6"/>
  <c r="G5" i="8"/>
  <c r="D5" i="8"/>
  <c r="H6" i="8"/>
  <c r="B2" i="6"/>
  <c r="B2" i="8"/>
  <c r="B30" i="6"/>
  <c r="B29" i="8"/>
  <c r="G6" i="6"/>
  <c r="G6" i="8"/>
  <c r="H7" i="6"/>
  <c r="H7" i="8"/>
</calcChain>
</file>

<file path=xl/sharedStrings.xml><?xml version="1.0" encoding="utf-8"?>
<sst xmlns="http://schemas.openxmlformats.org/spreadsheetml/2006/main" count="248" uniqueCount="138">
  <si>
    <t xml:space="preserve"> </t>
  </si>
  <si>
    <t>%</t>
  </si>
  <si>
    <t>0%</t>
  </si>
  <si>
    <t>Email</t>
  </si>
  <si>
    <t>[mm]:ss</t>
  </si>
  <si>
    <t>Kolom</t>
  </si>
  <si>
    <t>Naam</t>
  </si>
  <si>
    <t>Opmaak</t>
  </si>
  <si>
    <t>Opmerkingen</t>
  </si>
  <si>
    <t>Kol10</t>
  </si>
  <si>
    <t>Maand</t>
  </si>
  <si>
    <t>Kol1</t>
  </si>
  <si>
    <t>Kol2</t>
  </si>
  <si>
    <t>Kol3</t>
  </si>
  <si>
    <t>Kol4</t>
  </si>
  <si>
    <t>Kol5</t>
  </si>
  <si>
    <t>Kol6</t>
  </si>
  <si>
    <t>Kol7</t>
  </si>
  <si>
    <t>Kol8</t>
  </si>
  <si>
    <t>Kol9</t>
  </si>
  <si>
    <t>G-Info</t>
  </si>
  <si>
    <t>Bedrijfsnaam</t>
  </si>
  <si>
    <t>Website</t>
  </si>
  <si>
    <t>Opsteller</t>
  </si>
  <si>
    <t>Gijs Verbruggen</t>
  </si>
  <si>
    <t>Datum</t>
  </si>
  <si>
    <t>gijs@ginfo.nl</t>
  </si>
  <si>
    <t>Laatste datum</t>
  </si>
  <si>
    <t>mmm jjjj</t>
  </si>
  <si>
    <t>Standaard datum opmaak</t>
  </si>
  <si>
    <t>Laatste datum gebruiken?</t>
  </si>
  <si>
    <t>Als niet</t>
  </si>
  <si>
    <t>Kopregel</t>
  </si>
  <si>
    <t>Kop- en voettekst onderdelen</t>
  </si>
  <si>
    <t>Onderdeel</t>
  </si>
  <si>
    <t>Inhoud</t>
  </si>
  <si>
    <t>Huidige datum</t>
  </si>
  <si>
    <t>Tekst1</t>
  </si>
  <si>
    <t>Onderdeel1</t>
  </si>
  <si>
    <t>Tekst2</t>
  </si>
  <si>
    <t>Onderdeel2</t>
  </si>
  <si>
    <t>Tekst3</t>
  </si>
  <si>
    <t>Onderdeel3</t>
  </si>
  <si>
    <t>Tekst4</t>
  </si>
  <si>
    <t>Onderdeel4</t>
  </si>
  <si>
    <t>Tekst5</t>
  </si>
  <si>
    <t>Onderdeel5</t>
  </si>
  <si>
    <t>Referentiedatum</t>
  </si>
  <si>
    <t xml:space="preserve">, </t>
  </si>
  <si>
    <t>Voetregel</t>
  </si>
  <si>
    <t xml:space="preserve">Opgesteld door </t>
  </si>
  <si>
    <t xml:space="preserve"> op </t>
  </si>
  <si>
    <t>OpmCd</t>
  </si>
  <si>
    <t>Financieel ($)</t>
  </si>
  <si>
    <t>$ #.##0</t>
  </si>
  <si>
    <t>[$€-1809] #.##0</t>
  </si>
  <si>
    <t>% met 1 decimaal</t>
  </si>
  <si>
    <t>0,0%</t>
  </si>
  <si>
    <t>Valuta ($)</t>
  </si>
  <si>
    <t>Valuta (€)</t>
  </si>
  <si>
    <r>
      <t>Financieel (</t>
    </r>
    <r>
      <rPr>
        <strike/>
        <sz val="11"/>
        <color theme="1"/>
        <rFont val="Calibri"/>
        <family val="2"/>
        <scheme val="minor"/>
      </rPr>
      <t>€</t>
    </r>
    <r>
      <rPr>
        <sz val="11"/>
        <color theme="1"/>
        <rFont val="Calibri"/>
        <family val="2"/>
        <scheme val="minor"/>
      </rPr>
      <t>)</t>
    </r>
  </si>
  <si>
    <t xml:space="preserve">_ € * #.##0,00_ ;_ € * -#.##0,00_ ;_ € * "-"??_ ;_ @_ </t>
  </si>
  <si>
    <t>% met 2 decimalen</t>
  </si>
  <si>
    <t>0,00%</t>
  </si>
  <si>
    <t>Getal</t>
  </si>
  <si>
    <t>#.##0</t>
  </si>
  <si>
    <t>Getal met 2 decimalen</t>
  </si>
  <si>
    <t>#.##0,00</t>
  </si>
  <si>
    <t>Duizenden</t>
  </si>
  <si>
    <t>Miljoenen</t>
  </si>
  <si>
    <t>Tijd - mm:ss</t>
  </si>
  <si>
    <t>Tijd - dagen</t>
  </si>
  <si>
    <t>Nr</t>
  </si>
  <si>
    <t>Data-indeling</t>
  </si>
  <si>
    <t>Verkoop</t>
  </si>
  <si>
    <t>Kosten</t>
  </si>
  <si>
    <t>Cashflow</t>
  </si>
  <si>
    <t>Klanten</t>
  </si>
  <si>
    <t>% Nieuwe klanten</t>
  </si>
  <si>
    <t>% Terugkerende klanten</t>
  </si>
  <si>
    <t>Winst %</t>
  </si>
  <si>
    <t>Productiviteit %</t>
  </si>
  <si>
    <t>Gem tijd per call</t>
  </si>
  <si>
    <t>Kosten moeten flink teruggebracht worden.</t>
  </si>
  <si>
    <t>Gem verkoop per klant</t>
  </si>
  <si>
    <t>Actueel</t>
  </si>
  <si>
    <t>Nee</t>
  </si>
  <si>
    <t>YoY</t>
  </si>
  <si>
    <t>Berekeningen</t>
  </si>
  <si>
    <t>Waarde deze maand</t>
  </si>
  <si>
    <t>Waarde vorige maand</t>
  </si>
  <si>
    <t>Waarde vorig jaar</t>
  </si>
  <si>
    <t>Verandering MoM</t>
  </si>
  <si>
    <t>Verandering YoY</t>
  </si>
  <si>
    <t>Doel</t>
  </si>
  <si>
    <t>dKol1</t>
  </si>
  <si>
    <t>dKol2</t>
  </si>
  <si>
    <t>dKol3</t>
  </si>
  <si>
    <t>dKol4</t>
  </si>
  <si>
    <t>dKol5</t>
  </si>
  <si>
    <t>dKol6</t>
  </si>
  <si>
    <t>dKol7</t>
  </si>
  <si>
    <t>dKol8</t>
  </si>
  <si>
    <t>dKol9</t>
  </si>
  <si>
    <t>dKol10</t>
  </si>
  <si>
    <t>Doel deze maand</t>
  </si>
  <si>
    <t>% Doel</t>
  </si>
  <si>
    <t>Berekening</t>
  </si>
  <si>
    <t>Soort overzicht</t>
  </si>
  <si>
    <t>Berekeningen opmaak</t>
  </si>
  <si>
    <t>Berekeningen + opmaak</t>
  </si>
  <si>
    <t xml:space="preserve">_-[$$-en-US] * #.##0,00_ ;_-[$$-en-US] * -#.##0,00 ;_-[$$-en-US] * "-"??_ ;_-@_ </t>
  </si>
  <si>
    <t>Van uren naar dag</t>
  </si>
  <si>
    <t>Van minuten naar dag</t>
  </si>
  <si>
    <t>3 maands gemiddelde</t>
  </si>
  <si>
    <t>6 maands gemiddelde</t>
  </si>
  <si>
    <t>Jaar gemiddelde</t>
  </si>
  <si>
    <t>Item</t>
  </si>
  <si>
    <t>DataNr</t>
  </si>
  <si>
    <t>Indeling overzichtblokken</t>
  </si>
  <si>
    <t>Kop</t>
  </si>
  <si>
    <t>Blokken</t>
  </si>
  <si>
    <t>Start sparkline</t>
  </si>
  <si>
    <t>Grafiek</t>
  </si>
  <si>
    <t>YtD</t>
  </si>
  <si>
    <t>Som van Nr</t>
  </si>
  <si>
    <t>Is € 600 haalbaar?</t>
  </si>
  <si>
    <t>#.##0,0. k</t>
  </si>
  <si>
    <t>#.##0,0.. "m"</t>
  </si>
  <si>
    <t xml:space="preserve">Rapportage </t>
  </si>
  <si>
    <t>Stuks</t>
  </si>
  <si>
    <t>0 "stuks"</t>
  </si>
  <si>
    <t>Van seconden naar dag</t>
  </si>
  <si>
    <t>www.ginfo.nl</t>
  </si>
  <si>
    <t>Basis-instellingen</t>
  </si>
  <si>
    <t>Overige instellingen</t>
  </si>
  <si>
    <t>Voorbeeld materiaal -  Rapportage-stramien</t>
  </si>
  <si>
    <t>© 2023,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</si>
</sst>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h:mm:ss;@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17" fontId="0" fillId="0" borderId="0" xfId="0" applyNumberFormat="1"/>
    <xf numFmtId="0" fontId="4" fillId="0" borderId="0" xfId="0" applyFont="1" applyFill="1"/>
    <xf numFmtId="0" fontId="4" fillId="0" borderId="3" xfId="0" applyFont="1" applyFill="1" applyBorder="1"/>
    <xf numFmtId="0" fontId="5" fillId="0" borderId="5" xfId="1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0" fillId="0" borderId="9" xfId="0" applyFill="1" applyBorder="1"/>
    <xf numFmtId="14" fontId="4" fillId="0" borderId="10" xfId="0" applyNumberFormat="1" applyFont="1" applyFill="1" applyBorder="1"/>
    <xf numFmtId="0" fontId="4" fillId="0" borderId="3" xfId="0" applyFont="1" applyFill="1" applyBorder="1" applyAlignment="1">
      <alignment horizontal="right"/>
    </xf>
    <xf numFmtId="0" fontId="0" fillId="2" borderId="11" xfId="0" applyFill="1" applyBorder="1"/>
    <xf numFmtId="0" fontId="0" fillId="0" borderId="5" xfId="0" applyBorder="1"/>
    <xf numFmtId="0" fontId="0" fillId="0" borderId="7" xfId="0" applyBorder="1"/>
    <xf numFmtId="0" fontId="0" fillId="2" borderId="4" xfId="0" applyFill="1" applyBorder="1"/>
    <xf numFmtId="0" fontId="0" fillId="0" borderId="13" xfId="0" applyBorder="1"/>
    <xf numFmtId="0" fontId="2" fillId="3" borderId="4" xfId="0" applyFont="1" applyFill="1" applyBorder="1"/>
    <xf numFmtId="0" fontId="2" fillId="3" borderId="5" xfId="0" applyFont="1" applyFill="1" applyBorder="1"/>
    <xf numFmtId="0" fontId="4" fillId="0" borderId="10" xfId="0" applyFont="1" applyFill="1" applyBorder="1"/>
    <xf numFmtId="0" fontId="4" fillId="2" borderId="15" xfId="0" applyFont="1" applyFill="1" applyBorder="1"/>
    <xf numFmtId="0" fontId="4" fillId="0" borderId="14" xfId="0" applyFont="1" applyFill="1" applyBorder="1"/>
    <xf numFmtId="0" fontId="4" fillId="0" borderId="16" xfId="0" applyFont="1" applyFill="1" applyBorder="1"/>
    <xf numFmtId="0" fontId="0" fillId="0" borderId="0" xfId="0" applyAlignment="1">
      <alignment vertical="center"/>
    </xf>
    <xf numFmtId="0" fontId="0" fillId="2" borderId="0" xfId="0" applyFill="1"/>
    <xf numFmtId="10" fontId="0" fillId="0" borderId="0" xfId="0" quotePrefix="1" applyNumberFormat="1"/>
    <xf numFmtId="0" fontId="0" fillId="0" borderId="0" xfId="0" quotePrefix="1"/>
    <xf numFmtId="0" fontId="1" fillId="3" borderId="4" xfId="0" applyFont="1" applyFill="1" applyBorder="1"/>
    <xf numFmtId="0" fontId="0" fillId="0" borderId="0" xfId="0" applyAlignment="1">
      <alignment horizontal="left"/>
    </xf>
    <xf numFmtId="0" fontId="1" fillId="3" borderId="18" xfId="0" applyFont="1" applyFill="1" applyBorder="1"/>
    <xf numFmtId="0" fontId="0" fillId="0" borderId="4" xfId="0" applyBorder="1"/>
    <xf numFmtId="0" fontId="1" fillId="5" borderId="23" xfId="0" applyFont="1" applyFill="1" applyBorder="1"/>
    <xf numFmtId="0" fontId="1" fillId="5" borderId="2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5" borderId="24" xfId="0" applyFont="1" applyFill="1" applyBorder="1" applyAlignment="1">
      <alignment vertical="top" wrapText="1"/>
    </xf>
    <xf numFmtId="0" fontId="0" fillId="0" borderId="9" xfId="0" applyBorder="1"/>
    <xf numFmtId="0" fontId="0" fillId="0" borderId="0" xfId="0" applyNumberFormat="1" applyBorder="1"/>
    <xf numFmtId="0" fontId="1" fillId="5" borderId="21" xfId="0" applyFont="1" applyFill="1" applyBorder="1"/>
    <xf numFmtId="0" fontId="12" fillId="5" borderId="25" xfId="0" applyFont="1" applyFill="1" applyBorder="1"/>
    <xf numFmtId="0" fontId="1" fillId="5" borderId="26" xfId="0" applyFont="1" applyFill="1" applyBorder="1"/>
    <xf numFmtId="0" fontId="1" fillId="5" borderId="22" xfId="0" applyFont="1" applyFill="1" applyBorder="1"/>
    <xf numFmtId="0" fontId="1" fillId="5" borderId="1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17" fontId="0" fillId="0" borderId="4" xfId="0" applyNumberFormat="1" applyBorder="1"/>
    <xf numFmtId="17" fontId="0" fillId="0" borderId="6" xfId="0" applyNumberFormat="1" applyBorder="1"/>
    <xf numFmtId="0" fontId="0" fillId="0" borderId="10" xfId="0" applyBorder="1"/>
    <xf numFmtId="0" fontId="0" fillId="0" borderId="27" xfId="0" applyBorder="1"/>
    <xf numFmtId="14" fontId="0" fillId="0" borderId="0" xfId="0" applyNumberFormat="1"/>
    <xf numFmtId="164" fontId="0" fillId="0" borderId="0" xfId="2" applyNumberFormat="1" applyFont="1"/>
    <xf numFmtId="14" fontId="4" fillId="0" borderId="8" xfId="0" applyNumberFormat="1" applyFont="1" applyFill="1" applyBorder="1" applyAlignment="1">
      <alignment horizontal="right"/>
    </xf>
    <xf numFmtId="14" fontId="4" fillId="0" borderId="7" xfId="0" applyNumberFormat="1" applyFont="1" applyFill="1" applyBorder="1" applyAlignment="1">
      <alignment horizontal="right"/>
    </xf>
    <xf numFmtId="0" fontId="0" fillId="0" borderId="0" xfId="0" applyNumberFormat="1"/>
    <xf numFmtId="0" fontId="1" fillId="3" borderId="28" xfId="0" applyFont="1" applyFill="1" applyBorder="1"/>
    <xf numFmtId="0" fontId="4" fillId="2" borderId="11" xfId="0" applyFont="1" applyFill="1" applyBorder="1"/>
    <xf numFmtId="0" fontId="4" fillId="0" borderId="12" xfId="0" applyFont="1" applyFill="1" applyBorder="1"/>
    <xf numFmtId="0" fontId="0" fillId="0" borderId="0" xfId="2" applyNumberFormat="1" applyFont="1"/>
    <xf numFmtId="0" fontId="0" fillId="0" borderId="0" xfId="0" applyAlignment="1">
      <alignment horizontal="right"/>
    </xf>
    <xf numFmtId="9" fontId="0" fillId="0" borderId="0" xfId="3" applyFont="1"/>
    <xf numFmtId="0" fontId="0" fillId="0" borderId="6" xfId="0" applyBorder="1"/>
    <xf numFmtId="165" fontId="0" fillId="0" borderId="0" xfId="3" applyNumberFormat="1" applyFont="1"/>
    <xf numFmtId="166" fontId="0" fillId="0" borderId="0" xfId="0" applyNumberFormat="1"/>
    <xf numFmtId="0" fontId="13" fillId="2" borderId="4" xfId="0" applyFont="1" applyFill="1" applyBorder="1" applyAlignment="1"/>
    <xf numFmtId="0" fontId="13" fillId="2" borderId="15" xfId="0" applyFont="1" applyFill="1" applyBorder="1" applyAlignment="1"/>
    <xf numFmtId="14" fontId="6" fillId="5" borderId="31" xfId="0" applyNumberFormat="1" applyFont="1" applyFill="1" applyBorder="1" applyAlignment="1"/>
    <xf numFmtId="14" fontId="6" fillId="5" borderId="32" xfId="0" applyNumberFormat="1" applyFont="1" applyFill="1" applyBorder="1" applyAlignment="1"/>
    <xf numFmtId="0" fontId="6" fillId="5" borderId="32" xfId="0" applyNumberFormat="1" applyFont="1" applyFill="1" applyBorder="1" applyAlignment="1"/>
    <xf numFmtId="14" fontId="6" fillId="5" borderId="33" xfId="0" applyNumberFormat="1" applyFont="1" applyFill="1" applyBorder="1" applyAlignment="1"/>
    <xf numFmtId="0" fontId="1" fillId="5" borderId="34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0" fillId="0" borderId="37" xfId="0" applyBorder="1"/>
    <xf numFmtId="0" fontId="0" fillId="0" borderId="38" xfId="0" applyBorder="1"/>
    <xf numFmtId="0" fontId="0" fillId="0" borderId="9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9" xfId="0" applyBorder="1"/>
    <xf numFmtId="0" fontId="14" fillId="0" borderId="0" xfId="0" applyFont="1" applyAlignment="1">
      <alignment horizontal="right"/>
    </xf>
    <xf numFmtId="0" fontId="0" fillId="0" borderId="10" xfId="0" applyBorder="1" applyAlignment="1">
      <alignment horizontal="right"/>
    </xf>
    <xf numFmtId="0" fontId="0" fillId="0" borderId="40" xfId="0" applyBorder="1" applyAlignment="1">
      <alignment horizontal="right"/>
    </xf>
    <xf numFmtId="0" fontId="14" fillId="0" borderId="0" xfId="0" applyFont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pivotButton="1"/>
    <xf numFmtId="0" fontId="16" fillId="0" borderId="0" xfId="0" applyFont="1"/>
    <xf numFmtId="0" fontId="1" fillId="5" borderId="15" xfId="0" applyFont="1" applyFill="1" applyBorder="1"/>
    <xf numFmtId="0" fontId="1" fillId="5" borderId="30" xfId="0" applyFont="1" applyFill="1" applyBorder="1" applyAlignment="1">
      <alignment horizontal="left"/>
    </xf>
    <xf numFmtId="0" fontId="1" fillId="5" borderId="30" xfId="0" applyFont="1" applyFill="1" applyBorder="1" applyAlignment="1">
      <alignment horizontal="right"/>
    </xf>
    <xf numFmtId="0" fontId="1" fillId="5" borderId="30" xfId="0" applyFont="1" applyFill="1" applyBorder="1"/>
    <xf numFmtId="0" fontId="1" fillId="5" borderId="16" xfId="0" applyFont="1" applyFill="1" applyBorder="1"/>
    <xf numFmtId="0" fontId="0" fillId="0" borderId="37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0" xfId="0" applyBorder="1" applyAlignment="1">
      <alignment horizontal="right"/>
    </xf>
    <xf numFmtId="0" fontId="0" fillId="0" borderId="16" xfId="0" applyBorder="1" applyAlignment="1">
      <alignment horizontal="right"/>
    </xf>
    <xf numFmtId="0" fontId="16" fillId="0" borderId="0" xfId="0" applyFont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4" xfId="0" applyFill="1" applyBorder="1" applyAlignment="1">
      <alignment horizontal="center"/>
    </xf>
    <xf numFmtId="0" fontId="2" fillId="0" borderId="0" xfId="0" applyFont="1"/>
    <xf numFmtId="0" fontId="17" fillId="6" borderId="0" xfId="4" applyFill="1"/>
    <xf numFmtId="0" fontId="17" fillId="6" borderId="0" xfId="4" applyFill="1" applyBorder="1"/>
    <xf numFmtId="0" fontId="17" fillId="0" borderId="0" xfId="4"/>
    <xf numFmtId="0" fontId="17" fillId="7" borderId="0" xfId="4" applyFill="1"/>
    <xf numFmtId="0" fontId="17" fillId="7" borderId="0" xfId="4" applyFill="1" applyBorder="1"/>
    <xf numFmtId="0" fontId="17" fillId="7" borderId="45" xfId="4" applyFill="1" applyBorder="1"/>
    <xf numFmtId="0" fontId="17" fillId="7" borderId="46" xfId="4" applyFill="1" applyBorder="1"/>
    <xf numFmtId="0" fontId="17" fillId="7" borderId="47" xfId="4" applyFill="1" applyBorder="1"/>
    <xf numFmtId="0" fontId="17" fillId="7" borderId="48" xfId="4" applyFill="1" applyBorder="1"/>
    <xf numFmtId="0" fontId="18" fillId="7" borderId="0" xfId="4" applyFont="1" applyFill="1" applyBorder="1"/>
    <xf numFmtId="0" fontId="17" fillId="7" borderId="49" xfId="4" applyFill="1" applyBorder="1"/>
    <xf numFmtId="0" fontId="19" fillId="7" borderId="0" xfId="4" applyFont="1" applyFill="1" applyBorder="1" applyAlignment="1">
      <alignment horizontal="right"/>
    </xf>
    <xf numFmtId="0" fontId="20" fillId="7" borderId="0" xfId="4" applyFont="1" applyFill="1" applyBorder="1" applyAlignment="1">
      <alignment horizontal="right"/>
    </xf>
    <xf numFmtId="0" fontId="21" fillId="7" borderId="0" xfId="4" applyFont="1" applyFill="1" applyBorder="1" applyAlignment="1">
      <alignment horizontal="right"/>
    </xf>
    <xf numFmtId="0" fontId="22" fillId="7" borderId="0" xfId="5" applyFill="1" applyBorder="1" applyAlignment="1" applyProtection="1">
      <alignment horizontal="right"/>
      <protection locked="0"/>
    </xf>
    <xf numFmtId="0" fontId="22" fillId="7" borderId="0" xfId="5" applyFill="1" applyAlignment="1" applyProtection="1">
      <alignment horizontal="right"/>
      <protection locked="0"/>
    </xf>
    <xf numFmtId="0" fontId="17" fillId="7" borderId="50" xfId="4" applyFill="1" applyBorder="1"/>
    <xf numFmtId="0" fontId="17" fillId="7" borderId="51" xfId="4" applyFill="1" applyBorder="1"/>
    <xf numFmtId="0" fontId="17" fillId="7" borderId="52" xfId="4" applyFill="1" applyBorder="1"/>
    <xf numFmtId="0" fontId="17" fillId="0" borderId="0" xfId="4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6" fillId="5" borderId="29" xfId="0" applyNumberFormat="1" applyFont="1" applyFill="1" applyBorder="1" applyAlignment="1">
      <alignment horizontal="left"/>
    </xf>
    <xf numFmtId="14" fontId="6" fillId="5" borderId="0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yperlink" xfId="1" builtinId="8"/>
    <cellStyle name="Hyperlink 2" xfId="5" xr:uid="{71BCA2BC-D010-47B2-8CD4-8D3DD4C1C831}"/>
    <cellStyle name="Komma" xfId="2" builtinId="3"/>
    <cellStyle name="Normal 2" xfId="4" xr:uid="{FC519A4B-29BE-4169-B63E-342E4D9B95FE}"/>
    <cellStyle name="Procent" xfId="3" builtinId="5"/>
    <cellStyle name="Standaard" xfId="0" builtinId="0"/>
  </cellStyles>
  <dxfs count="65"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/>
        <vertical/>
      </border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/>
        <vertical/>
      </border>
    </dxf>
    <dxf>
      <numFmt numFmtId="22" formatCode="mmm/yy"/>
    </dxf>
    <dxf>
      <border outline="0">
        <top style="medium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6" tint="0.59999389629810485"/>
        </patternFill>
      </fill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6" tint="0.59999389629810485"/>
        </patternFill>
      </fill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Berekeningen!$F$101</c:f>
          <c:strCache>
            <c:ptCount val="1"/>
            <c:pt idx="0">
              <c:v>Klanten YtD</c:v>
            </c:pt>
          </c:strCache>
        </c:strRef>
      </c:tx>
      <c:overlay val="0"/>
      <c:spPr>
        <a:noFill/>
        <a:ln w="2540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5594925634295707E-2"/>
          <c:y val="0.17930699029593777"/>
          <c:w val="0.8966272965879265"/>
          <c:h val="0.68946647724080357"/>
        </c:manualLayout>
      </c:layout>
      <c:lineChart>
        <c:grouping val="standard"/>
        <c:varyColors val="0"/>
        <c:ser>
          <c:idx val="1"/>
          <c:order val="0"/>
          <c:tx>
            <c:strRef>
              <c:f>Berekeningen!$D$101</c:f>
              <c:strCache>
                <c:ptCount val="1"/>
                <c:pt idx="0">
                  <c:v>Klanten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F39-480D-9318-BBA8945A0DBA}"/>
              </c:ext>
            </c:extLst>
          </c:dPt>
          <c:cat>
            <c:strRef>
              <c:f>Berekeningen!$C$102:$C$113</c:f>
              <c:strCache>
                <c:ptCount val="8"/>
                <c:pt idx="0">
                  <c:v>jan 2022</c:v>
                </c:pt>
                <c:pt idx="1">
                  <c:v>feb 2022</c:v>
                </c:pt>
                <c:pt idx="2">
                  <c:v>mrt 2022</c:v>
                </c:pt>
                <c:pt idx="3">
                  <c:v>apr 2022</c:v>
                </c:pt>
                <c:pt idx="4">
                  <c:v>mei 2022</c:v>
                </c:pt>
                <c:pt idx="5">
                  <c:v>jun 2022</c:v>
                </c:pt>
                <c:pt idx="6">
                  <c:v>jul 2022</c:v>
                </c:pt>
                <c:pt idx="7">
                  <c:v>aug 2022</c:v>
                </c:pt>
              </c:strCache>
            </c:strRef>
          </c:cat>
          <c:val>
            <c:numRef>
              <c:f>Berekeningen!$D$102:$D$113</c:f>
              <c:numCache>
                <c:formatCode>General</c:formatCode>
                <c:ptCount val="12"/>
                <c:pt idx="0">
                  <c:v>542</c:v>
                </c:pt>
                <c:pt idx="1">
                  <c:v>541</c:v>
                </c:pt>
                <c:pt idx="2">
                  <c:v>540</c:v>
                </c:pt>
                <c:pt idx="3">
                  <c:v>539</c:v>
                </c:pt>
                <c:pt idx="4">
                  <c:v>538</c:v>
                </c:pt>
                <c:pt idx="5">
                  <c:v>537</c:v>
                </c:pt>
                <c:pt idx="6">
                  <c:v>536</c:v>
                </c:pt>
                <c:pt idx="7">
                  <c:v>535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9-480D-9318-BBA8945A0DBA}"/>
            </c:ext>
          </c:extLst>
        </c:ser>
        <c:ser>
          <c:idx val="0"/>
          <c:order val="1"/>
          <c:tx>
            <c:v>Doel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39-480D-9318-BBA8945A0DBA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39-480D-9318-BBA8945A0D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39-480D-9318-BBA8945A0D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39-480D-9318-BBA8945A0D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39-480D-9318-BBA8945A0D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39-480D-9318-BBA8945A0D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39-480D-9318-BBA8945A0D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39-480D-9318-BBA8945A0D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39-480D-9318-BBA8945A0D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39-480D-9318-BBA8945A0D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39-480D-9318-BBA8945A0DB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39-480D-9318-BBA8945A0DB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39-480D-9318-BBA8945A0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Berekeningen!$E$102:$E$113</c:f>
              <c:numCache>
                <c:formatCode>General</c:formatCode>
                <c:ptCount val="12"/>
                <c:pt idx="0">
                  <c:v>380</c:v>
                </c:pt>
                <c:pt idx="1">
                  <c:v>376</c:v>
                </c:pt>
                <c:pt idx="2">
                  <c:v>372</c:v>
                </c:pt>
                <c:pt idx="3">
                  <c:v>368</c:v>
                </c:pt>
                <c:pt idx="4">
                  <c:v>364</c:v>
                </c:pt>
                <c:pt idx="5">
                  <c:v>360</c:v>
                </c:pt>
                <c:pt idx="6">
                  <c:v>356</c:v>
                </c:pt>
                <c:pt idx="7">
                  <c:v>352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39-480D-9318-BBA8945A0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6303151"/>
        <c:axId val="1586000415"/>
      </c:lineChart>
      <c:catAx>
        <c:axId val="158630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6000415"/>
        <c:crosses val="autoZero"/>
        <c:auto val="1"/>
        <c:lblAlgn val="ctr"/>
        <c:lblOffset val="100"/>
        <c:noMultiLvlLbl val="0"/>
      </c:catAx>
      <c:valAx>
        <c:axId val="15860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8630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DDC3EB0B-E0D9-45B5-9124-60D69E54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1466850</xdr:colOff>
      <xdr:row>5</xdr:row>
      <xdr:rowOff>170627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1A04E3B-FA2A-40B3-BD92-59448BC6E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00025"/>
          <a:ext cx="1466850" cy="9326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EACA7BBA-380C-4F3A-AAA5-89FDE79A05E6}"/>
            </a:ext>
          </a:extLst>
        </xdr:cNvPr>
        <xdr:cNvSpPr/>
      </xdr:nvSpPr>
      <xdr:spPr>
        <a:xfrm>
          <a:off x="2000250" y="1028700"/>
          <a:ext cx="127635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80C0636A-2350-4D41-AF0B-80EDAFC2A1DC}"/>
            </a:ext>
          </a:extLst>
        </xdr:cNvPr>
        <xdr:cNvSpPr/>
      </xdr:nvSpPr>
      <xdr:spPr>
        <a:xfrm>
          <a:off x="3886200" y="1028700"/>
          <a:ext cx="121920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D3BC4EB2-C063-44D0-A06D-712E26F2635A}"/>
            </a:ext>
          </a:extLst>
        </xdr:cNvPr>
        <xdr:cNvSpPr/>
      </xdr:nvSpPr>
      <xdr:spPr>
        <a:xfrm>
          <a:off x="3886200" y="1028700"/>
          <a:ext cx="121920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</xdr:rowOff>
        </xdr:from>
        <xdr:to>
          <xdr:col>1</xdr:col>
          <xdr:colOff>1114425</xdr:colOff>
          <xdr:row>2</xdr:row>
          <xdr:rowOff>1354</xdr:rowOff>
        </xdr:to>
        <xdr:pic>
          <xdr:nvPicPr>
            <xdr:cNvPr id="6" name="Afbeelding 5">
              <a:extLst>
                <a:ext uri="{FF2B5EF4-FFF2-40B4-BE49-F238E27FC236}">
                  <a16:creationId xmlns:a16="http://schemas.microsoft.com/office/drawing/2014/main" id="{2E66EDC1-DE6C-4AB9-89DD-99E0E2853B9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Bedrijf!F2:F6" spid="_x0000_s31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09600" y="200026"/>
              <a:ext cx="1114425" cy="63952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1112067</xdr:colOff>
          <xdr:row>30</xdr:row>
          <xdr:rowOff>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CC81547F-7E2F-48E9-B3D5-33D9FB88D50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Bedrijf!F2:F6" spid="_x0000_s31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09600" y="6048375"/>
              <a:ext cx="1112067" cy="6381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</xdr:col>
      <xdr:colOff>428625</xdr:colOff>
      <xdr:row>9</xdr:row>
      <xdr:rowOff>152400</xdr:rowOff>
    </xdr:from>
    <xdr:to>
      <xdr:col>9</xdr:col>
      <xdr:colOff>571500</xdr:colOff>
      <xdr:row>26</xdr:row>
      <xdr:rowOff>28575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0ED9467B-394D-42AD-943E-99228D343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323850</xdr:colOff>
      <xdr:row>9</xdr:row>
      <xdr:rowOff>142875</xdr:rowOff>
    </xdr:from>
    <xdr:to>
      <xdr:col>13</xdr:col>
      <xdr:colOff>514350</xdr:colOff>
      <xdr:row>26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Naam">
              <a:extLst>
                <a:ext uri="{FF2B5EF4-FFF2-40B4-BE49-F238E27FC236}">
                  <a16:creationId xmlns:a16="http://schemas.microsoft.com/office/drawing/2014/main" id="{FFA2B83E-E488-4342-AF8E-449EFAB372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a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2371725"/>
              <a:ext cx="1828800" cy="3095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33AB0E1-ACA2-4B9A-8683-6582FC3528D3}"/>
            </a:ext>
          </a:extLst>
        </xdr:cNvPr>
        <xdr:cNvSpPr/>
      </xdr:nvSpPr>
      <xdr:spPr>
        <a:xfrm>
          <a:off x="1990725" y="1028700"/>
          <a:ext cx="123825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B2E2A0DA-627F-4599-A94D-FE0FD23F604C}"/>
            </a:ext>
          </a:extLst>
        </xdr:cNvPr>
        <xdr:cNvSpPr/>
      </xdr:nvSpPr>
      <xdr:spPr>
        <a:xfrm>
          <a:off x="3505200" y="1028700"/>
          <a:ext cx="123825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9533D4CF-0FAF-47CA-83BA-F42A621C9C9A}"/>
            </a:ext>
          </a:extLst>
        </xdr:cNvPr>
        <xdr:cNvSpPr/>
      </xdr:nvSpPr>
      <xdr:spPr>
        <a:xfrm>
          <a:off x="5019675" y="1028700"/>
          <a:ext cx="1238250" cy="1009650"/>
        </a:xfrm>
        <a:prstGeom prst="rect">
          <a:avLst/>
        </a:prstGeom>
        <a:noFill/>
        <a:ln w="12700"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1</xdr:row>
          <xdr:rowOff>2</xdr:rowOff>
        </xdr:from>
        <xdr:to>
          <xdr:col>1</xdr:col>
          <xdr:colOff>1195055</xdr:colOff>
          <xdr:row>2</xdr:row>
          <xdr:rowOff>47625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4B4EE07B-F40B-4955-8F5E-F5DC80F2C8C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Bedrijf!F2:F6" spid="_x0000_s72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09601" y="200027"/>
              <a:ext cx="1195054" cy="685798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28</xdr:row>
          <xdr:rowOff>0</xdr:rowOff>
        </xdr:from>
        <xdr:to>
          <xdr:col>1</xdr:col>
          <xdr:colOff>1181101</xdr:colOff>
          <xdr:row>29</xdr:row>
          <xdr:rowOff>39616</xdr:rowOff>
        </xdr:to>
        <xdr:pic>
          <xdr:nvPicPr>
            <xdr:cNvPr id="6" name="Afbeelding 5">
              <a:extLst>
                <a:ext uri="{FF2B5EF4-FFF2-40B4-BE49-F238E27FC236}">
                  <a16:creationId xmlns:a16="http://schemas.microsoft.com/office/drawing/2014/main" id="{47375DB3-9046-460C-A76A-73EFE0653F4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Bedrijf!F2:F6" spid="_x0000_s72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09601" y="6048375"/>
              <a:ext cx="1181100" cy="677791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609599</xdr:colOff>
      <xdr:row>10</xdr:row>
      <xdr:rowOff>0</xdr:rowOff>
    </xdr:from>
    <xdr:to>
      <xdr:col>15</xdr:col>
      <xdr:colOff>904874</xdr:colOff>
      <xdr:row>21</xdr:row>
      <xdr:rowOff>95250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85B10464-AE29-4238-8DD4-4ADE94597DAC}"/>
            </a:ext>
          </a:extLst>
        </xdr:cNvPr>
        <xdr:cNvSpPr/>
      </xdr:nvSpPr>
      <xdr:spPr>
        <a:xfrm>
          <a:off x="609599" y="2409825"/>
          <a:ext cx="10944225" cy="2457450"/>
        </a:xfrm>
        <a:prstGeom prst="rect">
          <a:avLst/>
        </a:prstGeom>
        <a:noFill/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4942.567498495373" createdVersion="6" refreshedVersion="6" minRefreshableVersion="3" recordCount="10" xr:uid="{287EA5FF-C240-422C-B674-94F0258BA4B5}">
  <cacheSource type="worksheet">
    <worksheetSource name="tblDataInd"/>
  </cacheSource>
  <cacheFields count="5">
    <cacheField name="Nr" numFmtId="0">
      <sharedItems containsSemiMixedTypes="0" containsString="0" containsNumber="1" containsInteger="1" minValue="1" maxValue="10"/>
    </cacheField>
    <cacheField name="Kolom" numFmtId="0">
      <sharedItems/>
    </cacheField>
    <cacheField name="Naam" numFmtId="0">
      <sharedItems count="10">
        <s v="Verkoop"/>
        <s v="Kosten"/>
        <s v="Cashflow"/>
        <s v="Winst %"/>
        <s v="Klanten"/>
        <s v="% Nieuwe klanten"/>
        <s v="% Terugkerende klanten"/>
        <s v="Gem verkoop per klant"/>
        <s v="Productiviteit %"/>
        <s v="Gem tijd per call"/>
      </sharedItems>
    </cacheField>
    <cacheField name="Opmaak" numFmtId="0">
      <sharedItems/>
    </cacheField>
    <cacheField name="Opmerkingen" numFmtId="0">
      <sharedItems containsBlank="1"/>
    </cacheField>
  </cacheFields>
  <extLst>
    <ext xmlns:x14="http://schemas.microsoft.com/office/spreadsheetml/2009/9/main" uri="{725AE2AE-9491-48be-B2B4-4EB974FC3084}">
      <x14:pivotCacheDefinition pivotCacheId="28696052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1"/>
    <s v="Kol1"/>
    <x v="0"/>
    <s v="Valuta (€)"/>
    <m/>
  </r>
  <r>
    <n v="2"/>
    <s v="Kol2"/>
    <x v="1"/>
    <s v="Valuta (€)"/>
    <s v="Kosten moeten flink teruggebracht worden."/>
  </r>
  <r>
    <n v="3"/>
    <s v="Kol3"/>
    <x v="2"/>
    <s v="Valuta (€)"/>
    <m/>
  </r>
  <r>
    <n v="4"/>
    <s v="Kol4"/>
    <x v="3"/>
    <s v="%"/>
    <m/>
  </r>
  <r>
    <n v="5"/>
    <s v="Kol5"/>
    <x v="4"/>
    <s v="Getal"/>
    <m/>
  </r>
  <r>
    <n v="6"/>
    <s v="Kol6"/>
    <x v="5"/>
    <s v="%"/>
    <m/>
  </r>
  <r>
    <n v="7"/>
    <s v="Kol7"/>
    <x v="6"/>
    <s v="%"/>
    <m/>
  </r>
  <r>
    <n v="8"/>
    <s v="Kol8"/>
    <x v="7"/>
    <s v="Valuta (€)"/>
    <m/>
  </r>
  <r>
    <n v="9"/>
    <s v="Kol9"/>
    <x v="8"/>
    <s v="%"/>
    <m/>
  </r>
  <r>
    <n v="10"/>
    <s v="Kol10"/>
    <x v="9"/>
    <s v="Tijd - mm:ss"/>
    <s v="Is 3 minuten haalbaar?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79CC26-5A09-425F-90C6-14048737EFDC}" name="Draaitabel1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115:C116" firstHeaderRow="1" firstDataRow="1" firstDataCol="1"/>
  <pivotFields count="5">
    <pivotField dataField="1"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">
        <item h="1" x="5"/>
        <item h="1" x="6"/>
        <item h="1" x="2"/>
        <item h="1" x="9"/>
        <item h="1" x="7"/>
        <item x="4"/>
        <item h="1" x="1"/>
        <item h="1" x="8"/>
        <item h="1" x="0"/>
        <item h="1" x="3"/>
      </items>
    </pivotField>
    <pivotField compact="0" outline="0" subtotalTop="0" showAll="0" defaultSubtotal="0"/>
    <pivotField compact="0" outline="0" subtotalTop="0" showAll="0" defaultSubtotal="0"/>
  </pivotFields>
  <rowFields count="1">
    <field x="2"/>
  </rowFields>
  <rowItems count="1">
    <i>
      <x v="5"/>
    </i>
  </rowItems>
  <colItems count="1">
    <i/>
  </colItems>
  <dataFields count="1">
    <dataField name="Som van Nr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Naam" xr10:uid="{FF3FC1FB-2C3A-4E67-A4D0-99A1620CCB96}" sourceName="Naam">
  <pivotTables>
    <pivotTable tabId="7" name="Draaitabel1"/>
  </pivotTables>
  <data>
    <tabular pivotCacheId="286960529">
      <items count="10">
        <i x="5"/>
        <i x="6"/>
        <i x="2"/>
        <i x="9"/>
        <i x="7"/>
        <i x="4" s="1"/>
        <i x="1"/>
        <i x="8"/>
        <i x="0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am" xr10:uid="{A3587B5E-FF9A-45C1-93D9-D77A1D75395C}" cache="Slicer_Naam" caption="Naam" showCaption="0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F417F2-1CC1-4B93-8A9F-6A0104F2B035}" name="tblTkstOnderdelen" displayName="tblTkstOnderdelen" ref="B7:C13" totalsRowShown="0" headerRowDxfId="63" headerRowBorderDxfId="62" tableBorderDxfId="61">
  <autoFilter ref="B7:C13" xr:uid="{4CFD357F-DE0F-4AB3-ABF9-6995C64DA2D5}"/>
  <tableColumns count="2">
    <tableColumn id="1" xr3:uid="{6D0080B9-6573-4C30-98FF-4D8C468CC615}" name="Onderdeel" dataDxfId="60"/>
    <tableColumn id="3" xr3:uid="{E787D1EF-6DE0-4B91-88A3-41F4F67C0C53}" name="Inhou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1B19F81-1E6D-49F6-9E82-541C580FB1AB}" name="tblOpmaak" displayName="tblOpmaak" ref="E7:F21" totalsRowShown="0" headerRowBorderDxfId="59" tableBorderDxfId="58">
  <autoFilter ref="E7:F21" xr:uid="{94A81102-B000-49C4-9B07-4BC18B9BBC66}"/>
  <tableColumns count="2">
    <tableColumn id="1" xr3:uid="{5A32FFC2-8D1D-445E-B9D9-E26EB8C349DF}" name="Naam" dataDxfId="57"/>
    <tableColumn id="3" xr3:uid="{00D1E19D-2EE5-4697-98BD-7F3E619DED01}" name="OpmC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D8DAA8-1BDA-42A5-B9F3-85FC3FE600AF}" name="tblDataInd" displayName="tblDataInd" ref="B5:F15" totalsRowShown="0" headerRowDxfId="56" headerRowBorderDxfId="55" tableBorderDxfId="54">
  <autoFilter ref="B5:F15" xr:uid="{3F94E8F4-5536-4A79-AA7F-DA0D2511952A}"/>
  <tableColumns count="5">
    <tableColumn id="1" xr3:uid="{EA1DBC36-F040-456E-B0CD-D758A05411E8}" name="Nr" dataDxfId="53"/>
    <tableColumn id="2" xr3:uid="{06F2065F-31E5-47FC-884F-17D5588395B0}" name="Kolom" dataDxfId="52"/>
    <tableColumn id="3" xr3:uid="{D4CDD42D-F386-48A1-A839-586F36D16947}" name="Naam"/>
    <tableColumn id="4" xr3:uid="{5B6F978A-8099-4E9B-94E2-04FA55CEAE2F}" name="Opmaak"/>
    <tableColumn id="5" xr3:uid="{D5AF1082-6276-46CC-BB41-E891281A28A2}" name="Opmerking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D5C0E0-EEB3-4065-9CFB-D402F3436AE4}" name="tblBerekOpties" displayName="tblBerekOpties" ref="B18:D28" totalsRowShown="0" headerRowDxfId="51" headerRowBorderDxfId="50" tableBorderDxfId="49">
  <autoFilter ref="B18:D28" xr:uid="{8A711DC0-31B7-4611-894A-3E658AD3DCC9}"/>
  <tableColumns count="3">
    <tableColumn id="2" xr3:uid="{A7BE2BA7-651D-4175-B358-852F8D4E4F6F}" name="Nr"/>
    <tableColumn id="1" xr3:uid="{0EDAE591-4214-4A0B-8479-EA73D1B6043E}" name="Berekeningen"/>
    <tableColumn id="3" xr3:uid="{415BBCEA-B716-4965-A6B4-6654DD524188}" name="Opmaak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2F0F21-2BCB-401F-BDAA-A7877D9F3DCD}" name="tblData" displayName="tblData" ref="B4:V40" totalsRowShown="0">
  <autoFilter ref="B4:V40" xr:uid="{236E965C-F583-4882-85AF-55F8B36825C8}"/>
  <tableColumns count="21">
    <tableColumn id="1" xr3:uid="{D219EA35-10E8-4968-ABCB-009358031985}" name="Maand" dataDxfId="48"/>
    <tableColumn id="2" xr3:uid="{A2390873-589E-48AB-9EA0-94F704BCF9D5}" name="Kol1" dataDxfId="47"/>
    <tableColumn id="3" xr3:uid="{4EE63783-2D68-425E-9C81-D51B2AB47213}" name="Kol2" dataDxfId="46">
      <calculatedColumnFormula>TRUNC(tblData[[#This Row],[Kol1]])</calculatedColumnFormula>
    </tableColumn>
    <tableColumn id="4" xr3:uid="{F017E1A9-C573-4F94-BB74-D30EA40B5E6F}" name="Kol3"/>
    <tableColumn id="5" xr3:uid="{256995C5-76DF-4EE6-9F7E-4D9F5952A9EC}" name="Kol4" dataDxfId="45"/>
    <tableColumn id="6" xr3:uid="{2D87CE79-D62B-4644-90EB-4D5A126F203B}" name="Kol5"/>
    <tableColumn id="7" xr3:uid="{451C25DE-24EC-4C3C-889E-751AD0D8DC62}" name="Kol6"/>
    <tableColumn id="8" xr3:uid="{D741AFC7-DA3E-4D18-9F1D-6CE6AAA5655A}" name="Kol7"/>
    <tableColumn id="9" xr3:uid="{76973852-DB55-47FE-B757-4EEDDDFA0E0A}" name="Kol8">
      <calculatedColumnFormula>tblData[[#This Row],[Kol1]]/tblData[[#This Row],[Kol5]]</calculatedColumnFormula>
    </tableColumn>
    <tableColumn id="10" xr3:uid="{E9B5D636-9D49-4113-A4E5-9270CDB3AE6B}" name="Kol9" dataDxfId="44">
      <calculatedColumnFormula>tblData[[#This Row],[Kol1]]/tblData[[#This Row],[Kol5]]</calculatedColumnFormula>
    </tableColumn>
    <tableColumn id="11" xr3:uid="{3874929E-9E0E-4FA7-BD08-8A376B5E1ECF}" name="Kol10"/>
    <tableColumn id="12" xr3:uid="{F87B7FAC-6F9E-4C89-B275-8B7D6B048C4A}" name="dKol1" dataDxfId="43"/>
    <tableColumn id="13" xr3:uid="{92D65BE9-2CD3-4FFB-922B-8EB66A4CC2A4}" name="dKol2" dataDxfId="42"/>
    <tableColumn id="14" xr3:uid="{FFA907C4-34DD-456D-AE2E-97EC1152E39D}" name="dKol3"/>
    <tableColumn id="15" xr3:uid="{4031E7B4-788C-41BA-8153-AD3927011666}" name="dKol4"/>
    <tableColumn id="16" xr3:uid="{C9F8B556-B675-42C1-A71F-BA5954012B49}" name="dKol5"/>
    <tableColumn id="17" xr3:uid="{41C75B3A-F927-4817-BD94-F3185A3DE24D}" name="dKol6"/>
    <tableColumn id="18" xr3:uid="{1E005DF2-5E02-4947-8A9F-359912580DF6}" name="dKol7"/>
    <tableColumn id="19" xr3:uid="{39181ABC-16C0-476E-BB32-FAB04994E82F}" name="dKol8" dataDxfId="41">
      <calculatedColumnFormula>tblData[[#This Row],[dKol1]]/tblData[[#This Row],[dKol5]]</calculatedColumnFormula>
    </tableColumn>
    <tableColumn id="20" xr3:uid="{799382F8-3F26-403F-AC7C-A800BDD81AD3}" name="dKol9"/>
    <tableColumn id="21" xr3:uid="{79D82E83-E801-42B3-AD35-DAD63F6A7008}" name="dKol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0DB31E0-9635-4778-8455-47F4BC7E7C77}" name="tblYoY" displayName="tblYoY" ref="B3:W16" totalsRowShown="0">
  <autoFilter ref="B3:W16" xr:uid="{D559FA6B-FD60-43D0-9B0E-105AB26177F9}"/>
  <tableColumns count="22">
    <tableColumn id="1" xr3:uid="{AF9FDC15-917D-4F87-8330-B0F75898478B}" name="YoY"/>
    <tableColumn id="2" xr3:uid="{9D2B0995-CFA7-4E73-A05A-0906ED74A3A9}" name="Maand" dataDxfId="40">
      <calculatedColumnFormula>EDATE(DtmRef,tblYoY[[#This Row],[YoY]]-12)</calculatedColumnFormula>
    </tableColumn>
    <tableColumn id="3" xr3:uid="{74D231F4-63C1-4DD2-975B-787861D176D7}" name="Kol1" dataDxfId="39">
      <calculatedColumnFormula>INDEX(tblData[],MATCH(tblYoY[[#This Row],[Maand]],tblData[Maand],0),MATCH(D$3,tblData[#Headers],0))</calculatedColumnFormula>
    </tableColumn>
    <tableColumn id="4" xr3:uid="{6D5154FD-DA94-43F5-8240-C42E2BC7DCF1}" name="Kol2" dataDxfId="38">
      <calculatedColumnFormula>INDEX(tblData[],MATCH(tblYoY[[#This Row],[Maand]],tblData[Maand],0),MATCH(E$3,tblData[#Headers],0))</calculatedColumnFormula>
    </tableColumn>
    <tableColumn id="5" xr3:uid="{8872A9F0-EBE1-4EAF-9EFF-E9729B0DE071}" name="Kol3" dataDxfId="37">
      <calculatedColumnFormula>INDEX(tblData[],MATCH(tblYoY[[#This Row],[Maand]],tblData[Maand],0),MATCH(F$3,tblData[#Headers],0))</calculatedColumnFormula>
    </tableColumn>
    <tableColumn id="6" xr3:uid="{CDDECA71-DFD7-4A5B-BA7B-8B15EF172FE4}" name="Kol4" dataDxfId="36">
      <calculatedColumnFormula>INDEX(tblData[],MATCH(tblYoY[[#This Row],[Maand]],tblData[Maand],0),MATCH(G$3,tblData[#Headers],0))</calculatedColumnFormula>
    </tableColumn>
    <tableColumn id="7" xr3:uid="{ECDE7B20-5741-4EEB-AD89-E4B3506D2226}" name="Kol5" dataDxfId="35">
      <calculatedColumnFormula>INDEX(tblData[],MATCH(tblYoY[[#This Row],[Maand]],tblData[Maand],0),MATCH(H$3,tblData[#Headers],0))</calculatedColumnFormula>
    </tableColumn>
    <tableColumn id="8" xr3:uid="{CDD184A7-A06C-4499-8B1C-40E8E0A4B038}" name="Kol6" dataDxfId="34">
      <calculatedColumnFormula>INDEX(tblData[],MATCH(tblYoY[[#This Row],[Maand]],tblData[Maand],0),MATCH(I$3,tblData[#Headers],0))</calculatedColumnFormula>
    </tableColumn>
    <tableColumn id="9" xr3:uid="{0D322E38-2D24-454B-9EC5-654B6F4DE243}" name="Kol7" dataDxfId="33">
      <calculatedColumnFormula>INDEX(tblData[],MATCH(tblYoY[[#This Row],[Maand]],tblData[Maand],0),MATCH(J$3,tblData[#Headers],0))</calculatedColumnFormula>
    </tableColumn>
    <tableColumn id="10" xr3:uid="{C8C2A87F-D490-4FE3-8B9C-FA10DEC2363C}" name="Kol8" dataDxfId="32">
      <calculatedColumnFormula>INDEX(tblData[],MATCH(tblYoY[[#This Row],[Maand]],tblData[Maand],0),MATCH(K$3,tblData[#Headers],0))</calculatedColumnFormula>
    </tableColumn>
    <tableColumn id="11" xr3:uid="{B9ED862E-4869-4CDB-9D9D-5DA130B4FE67}" name="Kol9" dataDxfId="31">
      <calculatedColumnFormula>INDEX(tblData[],MATCH(tblYoY[[#This Row],[Maand]],tblData[Maand],0),MATCH(L$3,tblData[#Headers],0))</calculatedColumnFormula>
    </tableColumn>
    <tableColumn id="12" xr3:uid="{0C3CF60B-2A29-4738-A3D5-5F9ED0AAC630}" name="Kol10" dataDxfId="30">
      <calculatedColumnFormula>INDEX(tblData[],MATCH(tblYoY[[#This Row],[Maand]],tblData[Maand],0),MATCH(M$3,tblData[#Headers],0))</calculatedColumnFormula>
    </tableColumn>
    <tableColumn id="13" xr3:uid="{F0C094CD-6BFD-4575-9B30-A305F0B45CEC}" name="dKol1" dataDxfId="29">
      <calculatedColumnFormula>INDEX(tblData[],MATCH(tblYoY[[#This Row],[Maand]],tblData[Maand],0),MATCH(N$3,tblData[#Headers],0))</calculatedColumnFormula>
    </tableColumn>
    <tableColumn id="14" xr3:uid="{BF2F87CA-1F01-493B-B857-6BF0C1812A76}" name="dKol2" dataDxfId="28">
      <calculatedColumnFormula>INDEX(tblData[],MATCH(tblYoY[[#This Row],[Maand]],tblData[Maand],0),MATCH(O$3,tblData[#Headers],0))</calculatedColumnFormula>
    </tableColumn>
    <tableColumn id="15" xr3:uid="{0C202AFF-BF6F-4550-84BD-A3C8977444EA}" name="dKol3" dataDxfId="27">
      <calculatedColumnFormula>INDEX(tblData[],MATCH(tblYoY[[#This Row],[Maand]],tblData[Maand],0),MATCH(P$3,tblData[#Headers],0))</calculatedColumnFormula>
    </tableColumn>
    <tableColumn id="16" xr3:uid="{C043E4AB-93EE-4A6C-9202-C1DF4FEBAFE3}" name="dKol4" dataDxfId="26">
      <calculatedColumnFormula>INDEX(tblData[],MATCH(tblYoY[[#This Row],[Maand]],tblData[Maand],0),MATCH(Q$3,tblData[#Headers],0))</calculatedColumnFormula>
    </tableColumn>
    <tableColumn id="17" xr3:uid="{D15D1F0F-790F-4C6F-920E-A99F890CC9B2}" name="dKol5" dataDxfId="25">
      <calculatedColumnFormula>INDEX(tblData[],MATCH(tblYoY[[#This Row],[Maand]],tblData[Maand],0),MATCH(R$3,tblData[#Headers],0))</calculatedColumnFormula>
    </tableColumn>
    <tableColumn id="18" xr3:uid="{39EA667B-E176-47F7-BFA7-A5C91B47049A}" name="dKol6" dataDxfId="24">
      <calculatedColumnFormula>INDEX(tblData[],MATCH(tblYoY[[#This Row],[Maand]],tblData[Maand],0),MATCH(S$3,tblData[#Headers],0))</calculatedColumnFormula>
    </tableColumn>
    <tableColumn id="19" xr3:uid="{C18CA2EC-AD1B-44F0-8A1A-946ACA5498DB}" name="dKol7" dataDxfId="23">
      <calculatedColumnFormula>INDEX(tblData[],MATCH(tblYoY[[#This Row],[Maand]],tblData[Maand],0),MATCH(T$3,tblData[#Headers],0))</calculatedColumnFormula>
    </tableColumn>
    <tableColumn id="20" xr3:uid="{56249481-3325-4238-AD30-1F7CC6FD2B9D}" name="dKol8" dataDxfId="22">
      <calculatedColumnFormula>INDEX(tblData[],MATCH(tblYoY[[#This Row],[Maand]],tblData[Maand],0),MATCH(U$3,tblData[#Headers],0))</calculatedColumnFormula>
    </tableColumn>
    <tableColumn id="21" xr3:uid="{A38F0B4B-AA5E-48AB-BD38-319BDC3C941D}" name="dKol9" dataDxfId="21">
      <calculatedColumnFormula>INDEX(tblData[],MATCH(tblYoY[[#This Row],[Maand]],tblData[Maand],0),MATCH(V$3,tblData[#Headers],0))</calculatedColumnFormula>
    </tableColumn>
    <tableColumn id="22" xr3:uid="{61F57E32-D977-460E-BFF0-F793C1602E96}" name="dKol10" dataDxfId="20">
      <calculatedColumnFormula>INDEX(tblData[],MATCH(tblYoY[[#This Row],[Maand]],tblData[Maand],0),MATCH(W$3,tblData[#Headers],0))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01C23F5-89BE-4265-9999-598DDDD2C8F4}" name="tblBerekOpm" displayName="tblBerekOpm" ref="B20:M36" totalsRowShown="0">
  <autoFilter ref="B20:M36" xr:uid="{0EE95C52-A5B9-4EB9-B9D3-AAE80605A4B8}"/>
  <tableColumns count="12">
    <tableColumn id="12" xr3:uid="{2163CD65-CD38-4540-9EAF-0A91335959A1}" name="Nr" dataDxfId="19"/>
    <tableColumn id="1" xr3:uid="{C5D9F99A-A620-4D42-A64C-7F653EA19491}" name="Berekening" dataDxfId="18">
      <calculatedColumnFormula>INDEX(tblBerekOpties[Berekeningen],tblBerekOpm[[#This Row],[Nr]])</calculatedColumnFormula>
    </tableColumn>
    <tableColumn id="2" xr3:uid="{8CE3A152-3F84-48C5-91BA-1A9C1ADA012C}" name="Verkoop" dataDxfId="17">
      <calculatedColumnFormula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calculatedColumnFormula>
    </tableColumn>
    <tableColumn id="3" xr3:uid="{1CE8421A-CD3C-49D4-84DE-8D3598D7D261}" name="Kosten" dataDxfId="16">
      <calculatedColumnFormula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calculatedColumnFormula>
    </tableColumn>
    <tableColumn id="4" xr3:uid="{2824846D-96B0-4E99-928B-04439DAC07C2}" name="Cashflow" dataDxfId="15">
      <calculatedColumnFormula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calculatedColumnFormula>
    </tableColumn>
    <tableColumn id="5" xr3:uid="{DBB40697-73FC-412E-9EE8-DD9729F45AED}" name="Winst %" dataDxfId="14">
      <calculatedColumnFormula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calculatedColumnFormula>
    </tableColumn>
    <tableColumn id="6" xr3:uid="{823D13A0-458B-438F-9C1C-F7631C71D990}" name="Klanten" dataDxfId="13">
      <calculatedColumnFormula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calculatedColumnFormula>
    </tableColumn>
    <tableColumn id="7" xr3:uid="{D32ED3BA-7F2B-463C-97D2-EA94DDD6DEF2}" name="% Nieuwe klanten" dataDxfId="12">
      <calculatedColumnFormula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calculatedColumnFormula>
    </tableColumn>
    <tableColumn id="8" xr3:uid="{78B344AF-E7EB-4165-89FC-9DE6BB39F0ED}" name="% Terugkerende klanten" dataDxfId="11">
      <calculatedColumnFormula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calculatedColumnFormula>
    </tableColumn>
    <tableColumn id="9" xr3:uid="{5084828A-EA0F-4F14-90A8-83F37B7DCC8A}" name="Gem verkoop per klant" dataDxfId="10">
      <calculatedColumnFormula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calculatedColumnFormula>
    </tableColumn>
    <tableColumn id="10" xr3:uid="{CD676DD3-EBBB-4A07-A5FA-96B145FD4353}" name="Productiviteit %" dataDxfId="9">
      <calculatedColumnFormula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calculatedColumnFormula>
    </tableColumn>
    <tableColumn id="11" xr3:uid="{80EF19D9-727D-4208-8188-953D007F5111}" name="Gem tijd per call" dataDxfId="8">
      <calculatedColumnFormula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FCA99D-CBDF-4986-A28D-1EC1E3148180}" name="tblBerek" displayName="tblBerek" ref="B40:M56" totalsRowShown="0">
  <autoFilter ref="B40:M56" xr:uid="{FF968A21-0369-47D3-B584-091EE6D324A5}"/>
  <tableColumns count="12">
    <tableColumn id="12" xr3:uid="{055632B3-50F8-4B75-A536-BCBB93C23CB4}" name="Nr" dataDxfId="7"/>
    <tableColumn id="1" xr3:uid="{EEFBB526-D999-48A7-845E-8467B2F7EBB6}" name="Berekening" dataDxfId="6">
      <calculatedColumnFormula>INDEX(tblBerekOpties[Berekeningen],tblBerek[[#This Row],[Nr]])</calculatedColumnFormula>
    </tableColumn>
    <tableColumn id="2" xr3:uid="{69D7BAF2-F91F-45FB-99C9-42D61097D07A}" name="Verkoop" dataDxfId="5">
      <calculatedColumnFormula>TEXT(N13,D21)</calculatedColumnFormula>
    </tableColumn>
    <tableColumn id="3" xr3:uid="{32772FAE-D8F3-4DC2-9F39-B05EB2916D0F}" name="Kosten">
      <calculatedColumnFormula>IF(INDEX(tblBerekOpties[Opmaak],tblBerek[[#This Row],[Nr]])=0,INDEX(#REF!,MATCH(INDEX(tblDataInd[Opmaak],MATCH(tblYoY[[#Headers],[Kol2]],tblDataInd[Kolom],0)),#REF!,0)),INDEX(tblBerekOpties[Opmaak],tblBerek[[#This Row],[Nr]]))</calculatedColumnFormula>
    </tableColumn>
    <tableColumn id="4" xr3:uid="{E09C6F84-6087-4262-B355-BA6371FAEC23}" name="Cashflow">
      <calculatedColumnFormula>IF(INDEX(tblBerekOpties[Opmaak],tblBerek[[#This Row],[Nr]])=0,INDEX(#REF!,MATCH(INDEX(tblDataInd[Opmaak],MATCH(tblYoY[[#Headers],[Kol3]],tblDataInd[Kolom],0)),#REF!,0)),INDEX(tblBerekOpties[Opmaak],tblBerek[[#This Row],[Nr]]))</calculatedColumnFormula>
    </tableColumn>
    <tableColumn id="5" xr3:uid="{69214B55-83F8-4785-B57F-85CEDCA8737F}" name="Winst %">
      <calculatedColumnFormula>IF(INDEX(tblBerekOpties[Opmaak],tblBerek[[#This Row],[Nr]])=0,INDEX(#REF!,MATCH(INDEX(tblDataInd[Opmaak],MATCH(tblYoY[[#Headers],[Kol4]],tblDataInd[Kolom],0)),#REF!,0)),INDEX(tblBerekOpties[Opmaak],tblBerek[[#This Row],[Nr]]))</calculatedColumnFormula>
    </tableColumn>
    <tableColumn id="6" xr3:uid="{65AF1BF5-8402-4914-9354-B471B1F7C75B}" name="Klanten">
      <calculatedColumnFormula>IF(INDEX(tblBerekOpties[Opmaak],tblBerek[[#This Row],[Nr]])=0,INDEX(#REF!,MATCH(INDEX(tblDataInd[Opmaak],MATCH(tblYoY[[#Headers],[Kol5]],tblDataInd[Kolom],0)),#REF!,0)),INDEX(tblBerekOpties[Opmaak],tblBerek[[#This Row],[Nr]]))</calculatedColumnFormula>
    </tableColumn>
    <tableColumn id="7" xr3:uid="{4A003247-9741-4E1B-805B-1E690E42643C}" name="% Nieuwe klanten">
      <calculatedColumnFormula>IF(INDEX(tblBerekOpties[Opmaak],tblBerek[[#This Row],[Nr]])=0,INDEX(#REF!,MATCH(INDEX(tblDataInd[Opmaak],MATCH(tblYoY[[#Headers],[Kol6]],tblDataInd[Kolom],0)),#REF!,0)),INDEX(tblBerekOpties[Opmaak],tblBerek[[#This Row],[Nr]]))</calculatedColumnFormula>
    </tableColumn>
    <tableColumn id="8" xr3:uid="{D51AA2B7-799A-450A-B068-C3E1B938E3FB}" name="% Terugkerende klanten">
      <calculatedColumnFormula>IF(INDEX(tblBerekOpties[Opmaak],tblBerek[[#This Row],[Nr]])=0,INDEX(#REF!,MATCH(INDEX(tblDataInd[Opmaak],MATCH(tblYoY[[#Headers],[Kol7]],tblDataInd[Kolom],0)),#REF!,0)),INDEX(tblBerekOpties[Opmaak],tblBerek[[#This Row],[Nr]]))</calculatedColumnFormula>
    </tableColumn>
    <tableColumn id="9" xr3:uid="{C03812D0-E50A-478C-B04C-8867E39D75AB}" name="Gem verkoop per klant">
      <calculatedColumnFormula>IF(INDEX(tblBerekOpties[Opmaak],tblBerek[[#This Row],[Nr]])=0,INDEX(#REF!,MATCH(INDEX(tblDataInd[Opmaak],MATCH(tblYoY[[#Headers],[Kol8]],tblDataInd[Kolom],0)),#REF!,0)),INDEX(tblBerekOpties[Opmaak],tblBerek[[#This Row],[Nr]]))</calculatedColumnFormula>
    </tableColumn>
    <tableColumn id="10" xr3:uid="{82D64B77-D4F1-42B4-BCD4-7EA1BCD59AC9}" name="Productiviteit %">
      <calculatedColumnFormula>IF(INDEX(tblBerekOpties[Opmaak],tblBerek[[#This Row],[Nr]])=0,INDEX(#REF!,MATCH(INDEX(tblDataInd[Opmaak],MATCH(tblYoY[[#Headers],[Kol9]],tblDataInd[Kolom],0)),#REF!,0)),INDEX(tblBerekOpties[Opmaak],tblBerek[[#This Row],[Nr]]))</calculatedColumnFormula>
    </tableColumn>
    <tableColumn id="11" xr3:uid="{B2257BA0-83B8-49B0-8D8E-368704E0E20A}" name="Gem tijd per call" dataDxfId="4">
      <calculatedColumnFormula>TEXT(M16/24/60/60,M21)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611C5C-D5C0-4AB2-990B-9B83C5C899C4}" name="tblBerekPlusOpm" displayName="tblBerekPlusOpm" ref="B60:M76" totalsRowShown="0">
  <autoFilter ref="B60:M76" xr:uid="{073230D3-0DBA-458B-B051-DBB75BE94227}"/>
  <tableColumns count="12">
    <tableColumn id="12" xr3:uid="{7AD771F0-EF38-40D9-9664-61EB4F2FD6D2}" name="Nr" dataDxfId="3"/>
    <tableColumn id="1" xr3:uid="{DF4762C6-36F9-4598-BCF8-829E5A565B01}" name="Berekening" dataDxfId="2">
      <calculatedColumnFormula>INDEX(tblBerekOpties[Berekeningen],tblBerekPlusOpm[[#This Row],[Nr]])</calculatedColumnFormula>
    </tableColumn>
    <tableColumn id="2" xr3:uid="{A8791E46-1790-4854-BA8F-E7056D875BD4}" name="Verkoop" dataDxfId="1">
      <calculatedColumnFormula>TEXT(N33,D41)</calculatedColumnFormula>
    </tableColumn>
    <tableColumn id="3" xr3:uid="{F5A9C65F-1690-478A-AB83-15395DD54A48}" name="Kosten">
      <calculatedColumnFormula>IF(INDEX(tblBerekOpties[Opmaak],tblBerekPlusOpm[[#This Row],[Nr]])=0,INDEX(#REF!,MATCH(INDEX(tblDataInd[Opmaak],MATCH(tblYoY[[#Headers],[Kol2]],tblDataInd[Kolom],0)),#REF!,0)),INDEX(tblBerekOpties[Opmaak],tblBerekPlusOpm[[#This Row],[Nr]]))</calculatedColumnFormula>
    </tableColumn>
    <tableColumn id="4" xr3:uid="{56419854-7201-426F-BEEC-0D0A1BD82E65}" name="Cashflow">
      <calculatedColumnFormula>IF(INDEX(tblBerekOpties[Opmaak],tblBerekPlusOpm[[#This Row],[Nr]])=0,INDEX(#REF!,MATCH(INDEX(tblDataInd[Opmaak],MATCH(tblYoY[[#Headers],[Kol3]],tblDataInd[Kolom],0)),#REF!,0)),INDEX(tblBerekOpties[Opmaak],tblBerekPlusOpm[[#This Row],[Nr]]))</calculatedColumnFormula>
    </tableColumn>
    <tableColumn id="5" xr3:uid="{D1F75C35-36B8-420B-B4A1-A50E5D959613}" name="Winst %">
      <calculatedColumnFormula>IF(INDEX(tblBerekOpties[Opmaak],tblBerekPlusOpm[[#This Row],[Nr]])=0,INDEX(#REF!,MATCH(INDEX(tblDataInd[Opmaak],MATCH(tblYoY[[#Headers],[Kol4]],tblDataInd[Kolom],0)),#REF!,0)),INDEX(tblBerekOpties[Opmaak],tblBerekPlusOpm[[#This Row],[Nr]]))</calculatedColumnFormula>
    </tableColumn>
    <tableColumn id="6" xr3:uid="{039BFCE8-9BED-436E-8592-D59107CD1B55}" name="Klanten">
      <calculatedColumnFormula>IF(INDEX(tblBerekOpties[Opmaak],tblBerekPlusOpm[[#This Row],[Nr]])=0,INDEX(#REF!,MATCH(INDEX(tblDataInd[Opmaak],MATCH(tblYoY[[#Headers],[Kol5]],tblDataInd[Kolom],0)),#REF!,0)),INDEX(tblBerekOpties[Opmaak],tblBerekPlusOpm[[#This Row],[Nr]]))</calculatedColumnFormula>
    </tableColumn>
    <tableColumn id="7" xr3:uid="{A197B88C-FF39-4D00-A881-F4F6C45199CF}" name="% Nieuwe klanten">
      <calculatedColumnFormula>IF(INDEX(tblBerekOpties[Opmaak],tblBerekPlusOpm[[#This Row],[Nr]])=0,INDEX(#REF!,MATCH(INDEX(tblDataInd[Opmaak],MATCH(tblYoY[[#Headers],[Kol6]],tblDataInd[Kolom],0)),#REF!,0)),INDEX(tblBerekOpties[Opmaak],tblBerekPlusOpm[[#This Row],[Nr]]))</calculatedColumnFormula>
    </tableColumn>
    <tableColumn id="8" xr3:uid="{48064A48-3C14-42F0-AE40-6DADA5CFEE36}" name="% Terugkerende klanten">
      <calculatedColumnFormula>IF(INDEX(tblBerekOpties[Opmaak],tblBerekPlusOpm[[#This Row],[Nr]])=0,INDEX(#REF!,MATCH(INDEX(tblDataInd[Opmaak],MATCH(tblYoY[[#Headers],[Kol7]],tblDataInd[Kolom],0)),#REF!,0)),INDEX(tblBerekOpties[Opmaak],tblBerekPlusOpm[[#This Row],[Nr]]))</calculatedColumnFormula>
    </tableColumn>
    <tableColumn id="9" xr3:uid="{A0594995-5CE3-40E6-98F4-0B28FFC4B5E7}" name="Gem verkoop per klant">
      <calculatedColumnFormula>IF(INDEX(tblBerekOpties[Opmaak],tblBerekPlusOpm[[#This Row],[Nr]])=0,INDEX(#REF!,MATCH(INDEX(tblDataInd[Opmaak],MATCH(tblYoY[[#Headers],[Kol8]],tblDataInd[Kolom],0)),#REF!,0)),INDEX(tblBerekOpties[Opmaak],tblBerekPlusOpm[[#This Row],[Nr]]))</calculatedColumnFormula>
    </tableColumn>
    <tableColumn id="10" xr3:uid="{3FFC5D5D-A15B-4A0C-B0AE-275D98B583C1}" name="Productiviteit %">
      <calculatedColumnFormula>IF(INDEX(tblBerekOpties[Opmaak],tblBerekPlusOpm[[#This Row],[Nr]])=0,INDEX(#REF!,MATCH(INDEX(tblDataInd[Opmaak],MATCH(tblYoY[[#Headers],[Kol9]],tblDataInd[Kolom],0)),#REF!,0)),INDEX(tblBerekOpties[Opmaak],tblBerekPlusOpm[[#This Row],[Nr]]))</calculatedColumnFormula>
    </tableColumn>
    <tableColumn id="11" xr3:uid="{68BD2F9F-2D4D-4559-A142-C9F093C75A63}" name="Gem tijd per call" dataDxfId="0">
      <calculatedColumnFormula>TEXT(M36/24/60/60,M41)</calculatedColumnFormula>
    </tableColumn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Info">
  <a:themeElements>
    <a:clrScheme name="Aangepast 3">
      <a:dk1>
        <a:srgbClr val="2F2B20"/>
      </a:dk1>
      <a:lt1>
        <a:srgbClr val="FFFFFF"/>
      </a:lt1>
      <a:dk2>
        <a:srgbClr val="58585B"/>
      </a:dk2>
      <a:lt2>
        <a:srgbClr val="D1D2D4"/>
      </a:lt2>
      <a:accent1>
        <a:srgbClr val="FBAF3F"/>
      </a:accent1>
      <a:accent2>
        <a:srgbClr val="F5821F"/>
      </a:accent2>
      <a:accent3>
        <a:srgbClr val="6193DD"/>
      </a:accent3>
      <a:accent4>
        <a:srgbClr val="D56E63"/>
      </a:accent4>
      <a:accent5>
        <a:srgbClr val="B6AD37"/>
      </a:accent5>
      <a:accent6>
        <a:srgbClr val="D6F23C"/>
      </a:accent6>
      <a:hlink>
        <a:srgbClr val="D25814"/>
      </a:hlink>
      <a:folHlink>
        <a:srgbClr val="849A0A"/>
      </a:folHlink>
    </a:clrScheme>
    <a:fontScheme name="Kantoor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angrenzend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D40F-F06C-4145-9212-050D8E7CA94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110" customWidth="1"/>
    <col min="2" max="3" width="8.7109375" style="110" customWidth="1"/>
    <col min="4" max="4" width="2.7109375" style="110" customWidth="1"/>
    <col min="5" max="13" width="8.7109375" style="110" customWidth="1"/>
    <col min="14" max="14" width="5.7109375" style="127" customWidth="1"/>
    <col min="15" max="15" width="10.28515625" style="110" customWidth="1"/>
    <col min="16" max="16" width="2.7109375" style="110" customWidth="1"/>
    <col min="17" max="26" width="9.140625" style="110" customWidth="1"/>
    <col min="27" max="16384" width="9.140625" style="110" hidden="1"/>
  </cols>
  <sheetData>
    <row r="1" spans="1:44" ht="7.1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</row>
    <row r="2" spans="1:44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4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</row>
    <row r="4" spans="1:44" ht="13.5" thickBot="1" x14ac:dyDescent="0.25">
      <c r="A4" s="108"/>
      <c r="B4" s="108"/>
      <c r="C4" s="108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  <c r="O4" s="111"/>
      <c r="P4" s="11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</row>
    <row r="5" spans="1:44" ht="13.5" thickTop="1" x14ac:dyDescent="0.2">
      <c r="A5" s="108"/>
      <c r="B5" s="108"/>
      <c r="C5" s="108"/>
      <c r="D5" s="111"/>
      <c r="E5" s="113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</row>
    <row r="6" spans="1:44" ht="20.25" x14ac:dyDescent="0.3">
      <c r="A6" s="108"/>
      <c r="B6" s="108"/>
      <c r="C6" s="108"/>
      <c r="D6" s="111"/>
      <c r="E6" s="116"/>
      <c r="F6" s="117"/>
      <c r="G6" s="112"/>
      <c r="H6" s="112"/>
      <c r="I6" s="112"/>
      <c r="J6" s="112"/>
      <c r="K6" s="112"/>
      <c r="L6" s="112"/>
      <c r="M6" s="112"/>
      <c r="N6" s="112"/>
      <c r="O6" s="118"/>
      <c r="P6" s="111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</row>
    <row r="7" spans="1:44" x14ac:dyDescent="0.2">
      <c r="A7" s="108"/>
      <c r="B7" s="108"/>
      <c r="C7" s="108"/>
      <c r="D7" s="111"/>
      <c r="E7" s="116"/>
      <c r="F7" s="112"/>
      <c r="G7" s="112"/>
      <c r="H7" s="112"/>
      <c r="I7" s="112"/>
      <c r="J7" s="112"/>
      <c r="K7" s="112"/>
      <c r="L7" s="112"/>
      <c r="M7" s="112"/>
      <c r="N7" s="112"/>
      <c r="O7" s="118"/>
      <c r="P7" s="111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</row>
    <row r="8" spans="1:44" x14ac:dyDescent="0.2">
      <c r="A8" s="108"/>
      <c r="B8" s="108"/>
      <c r="C8" s="108"/>
      <c r="D8" s="111"/>
      <c r="E8" s="116"/>
      <c r="F8" s="112"/>
      <c r="G8" s="112"/>
      <c r="H8" s="112"/>
      <c r="I8" s="112"/>
      <c r="J8" s="112"/>
      <c r="K8" s="112"/>
      <c r="L8" s="112"/>
      <c r="M8" s="112"/>
      <c r="N8" s="112"/>
      <c r="O8" s="118"/>
      <c r="P8" s="111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</row>
    <row r="9" spans="1:44" x14ac:dyDescent="0.2">
      <c r="A9" s="108"/>
      <c r="B9" s="108"/>
      <c r="C9" s="108"/>
      <c r="D9" s="111"/>
      <c r="E9" s="116"/>
      <c r="F9" s="112"/>
      <c r="G9" s="112"/>
      <c r="H9" s="112"/>
      <c r="I9" s="112"/>
      <c r="J9" s="112"/>
      <c r="K9" s="112"/>
      <c r="L9" s="112"/>
      <c r="M9" s="112"/>
      <c r="N9" s="112"/>
      <c r="O9" s="118"/>
      <c r="P9" s="111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</row>
    <row r="10" spans="1:44" x14ac:dyDescent="0.2">
      <c r="A10" s="108"/>
      <c r="B10" s="108"/>
      <c r="C10" s="108"/>
      <c r="D10" s="111"/>
      <c r="E10" s="116"/>
      <c r="F10" s="112"/>
      <c r="G10" s="112"/>
      <c r="H10" s="112"/>
      <c r="I10" s="112"/>
      <c r="J10" s="112"/>
      <c r="K10" s="112"/>
      <c r="L10" s="112"/>
      <c r="M10" s="112"/>
      <c r="N10" s="112"/>
      <c r="O10" s="118"/>
      <c r="P10" s="111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</row>
    <row r="11" spans="1:44" x14ac:dyDescent="0.2">
      <c r="A11" s="108"/>
      <c r="B11" s="108"/>
      <c r="C11" s="108"/>
      <c r="D11" s="111"/>
      <c r="E11" s="116"/>
      <c r="F11" s="112"/>
      <c r="G11" s="112"/>
      <c r="H11" s="112"/>
      <c r="I11" s="112"/>
      <c r="J11" s="112"/>
      <c r="K11" s="112"/>
      <c r="L11" s="112"/>
      <c r="M11" s="112"/>
      <c r="N11" s="112"/>
      <c r="O11" s="118"/>
      <c r="P11" s="111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</row>
    <row r="12" spans="1:44" x14ac:dyDescent="0.2">
      <c r="A12" s="108"/>
      <c r="B12" s="108"/>
      <c r="C12" s="108"/>
      <c r="D12" s="111"/>
      <c r="E12" s="116"/>
      <c r="F12" s="112"/>
      <c r="G12" s="112"/>
      <c r="H12" s="112"/>
      <c r="I12" s="112"/>
      <c r="J12" s="112"/>
      <c r="K12" s="112"/>
      <c r="L12" s="112"/>
      <c r="M12" s="112"/>
      <c r="N12" s="112"/>
      <c r="O12" s="118"/>
      <c r="P12" s="111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</row>
    <row r="13" spans="1:44" x14ac:dyDescent="0.2">
      <c r="A13" s="108"/>
      <c r="B13" s="108"/>
      <c r="C13" s="108"/>
      <c r="D13" s="111"/>
      <c r="E13" s="116"/>
      <c r="F13" s="112"/>
      <c r="G13" s="112"/>
      <c r="H13" s="112"/>
      <c r="I13" s="112"/>
      <c r="J13" s="112"/>
      <c r="K13" s="112"/>
      <c r="L13" s="112"/>
      <c r="M13" s="112"/>
      <c r="N13" s="112"/>
      <c r="O13" s="118"/>
      <c r="P13" s="111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</row>
    <row r="14" spans="1:44" x14ac:dyDescent="0.2">
      <c r="A14" s="108"/>
      <c r="B14" s="108"/>
      <c r="C14" s="108"/>
      <c r="D14" s="111"/>
      <c r="E14" s="116"/>
      <c r="F14" s="112"/>
      <c r="G14" s="112"/>
      <c r="H14" s="112"/>
      <c r="I14" s="112"/>
      <c r="J14" s="112"/>
      <c r="K14" s="112"/>
      <c r="L14" s="112"/>
      <c r="M14" s="112"/>
      <c r="N14" s="112"/>
      <c r="O14" s="118"/>
      <c r="P14" s="111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</row>
    <row r="15" spans="1:44" x14ac:dyDescent="0.2">
      <c r="A15" s="108"/>
      <c r="B15" s="108"/>
      <c r="C15" s="108"/>
      <c r="D15" s="111"/>
      <c r="E15" s="116"/>
      <c r="F15" s="112"/>
      <c r="G15" s="112"/>
      <c r="H15" s="112"/>
      <c r="I15" s="112"/>
      <c r="J15" s="112"/>
      <c r="K15" s="112"/>
      <c r="L15" s="112"/>
      <c r="M15" s="112"/>
      <c r="N15" s="112"/>
      <c r="O15" s="118"/>
      <c r="P15" s="111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</row>
    <row r="16" spans="1:44" x14ac:dyDescent="0.2">
      <c r="A16" s="108"/>
      <c r="B16" s="108"/>
      <c r="C16" s="108"/>
      <c r="D16" s="111"/>
      <c r="E16" s="116"/>
      <c r="F16" s="112"/>
      <c r="G16" s="112"/>
      <c r="H16" s="112"/>
      <c r="I16" s="112"/>
      <c r="J16" s="112"/>
      <c r="K16" s="112"/>
      <c r="L16" s="112"/>
      <c r="M16" s="112"/>
      <c r="N16" s="112"/>
      <c r="O16" s="118"/>
      <c r="P16" s="111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</row>
    <row r="17" spans="1:44" x14ac:dyDescent="0.2">
      <c r="A17" s="108"/>
      <c r="B17" s="108"/>
      <c r="C17" s="108"/>
      <c r="D17" s="111"/>
      <c r="E17" s="116"/>
      <c r="F17" s="112"/>
      <c r="G17" s="112"/>
      <c r="H17" s="112"/>
      <c r="I17" s="112"/>
      <c r="J17" s="112"/>
      <c r="K17" s="112"/>
      <c r="L17" s="112"/>
      <c r="M17" s="112"/>
      <c r="N17" s="112"/>
      <c r="O17" s="118"/>
      <c r="P17" s="111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</row>
    <row r="18" spans="1:44" ht="37.5" x14ac:dyDescent="0.5">
      <c r="A18" s="108"/>
      <c r="B18" s="108"/>
      <c r="C18" s="108"/>
      <c r="D18" s="111"/>
      <c r="E18" s="116"/>
      <c r="F18" s="112"/>
      <c r="G18" s="112"/>
      <c r="H18" s="112"/>
      <c r="I18" s="112"/>
      <c r="J18" s="112"/>
      <c r="K18" s="112"/>
      <c r="L18" s="112"/>
      <c r="M18" s="112"/>
      <c r="N18" s="119"/>
      <c r="O18" s="118"/>
      <c r="P18" s="111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</row>
    <row r="19" spans="1:44" x14ac:dyDescent="0.2">
      <c r="A19" s="108"/>
      <c r="B19" s="108"/>
      <c r="C19" s="108"/>
      <c r="D19" s="111"/>
      <c r="E19" s="116"/>
      <c r="F19" s="112"/>
      <c r="G19" s="112"/>
      <c r="H19" s="112"/>
      <c r="I19" s="112"/>
      <c r="J19" s="112"/>
      <c r="K19" s="112"/>
      <c r="L19" s="112"/>
      <c r="M19" s="112"/>
      <c r="N19" s="112"/>
      <c r="O19" s="118"/>
      <c r="P19" s="111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</row>
    <row r="20" spans="1:44" x14ac:dyDescent="0.2">
      <c r="A20" s="108"/>
      <c r="B20" s="108"/>
      <c r="C20" s="108"/>
      <c r="D20" s="111"/>
      <c r="E20" s="116"/>
      <c r="F20" s="112"/>
      <c r="G20" s="112"/>
      <c r="H20" s="112"/>
      <c r="I20" s="112"/>
      <c r="J20" s="112"/>
      <c r="K20" s="112"/>
      <c r="L20" s="112"/>
      <c r="M20" s="112"/>
      <c r="N20" s="112"/>
      <c r="O20" s="118"/>
      <c r="P20" s="111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</row>
    <row r="21" spans="1:44" x14ac:dyDescent="0.2">
      <c r="A21" s="108"/>
      <c r="B21" s="108"/>
      <c r="C21" s="108"/>
      <c r="D21" s="111"/>
      <c r="E21" s="116"/>
      <c r="F21" s="112"/>
      <c r="G21" s="112"/>
      <c r="H21" s="112"/>
      <c r="I21" s="112"/>
      <c r="J21" s="112"/>
      <c r="K21" s="112"/>
      <c r="L21" s="112"/>
      <c r="M21" s="112"/>
      <c r="N21" s="112"/>
      <c r="O21" s="118"/>
      <c r="P21" s="111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</row>
    <row r="22" spans="1:44" x14ac:dyDescent="0.2">
      <c r="A22" s="108"/>
      <c r="B22" s="108"/>
      <c r="C22" s="108"/>
      <c r="D22" s="111"/>
      <c r="E22" s="116"/>
      <c r="F22" s="112"/>
      <c r="G22" s="112"/>
      <c r="H22" s="112"/>
      <c r="I22" s="112"/>
      <c r="J22" s="112"/>
      <c r="K22" s="112"/>
      <c r="L22" s="112"/>
      <c r="M22" s="112"/>
      <c r="N22" s="112"/>
      <c r="O22" s="118"/>
      <c r="P22" s="111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</row>
    <row r="23" spans="1:44" x14ac:dyDescent="0.2">
      <c r="A23" s="108"/>
      <c r="B23" s="108"/>
      <c r="C23" s="108"/>
      <c r="D23" s="111"/>
      <c r="E23" s="116"/>
      <c r="F23" s="112"/>
      <c r="G23" s="112"/>
      <c r="H23" s="112"/>
      <c r="I23" s="112"/>
      <c r="J23" s="112"/>
      <c r="K23" s="112"/>
      <c r="L23" s="112"/>
      <c r="M23" s="112"/>
      <c r="N23" s="112"/>
      <c r="O23" s="118"/>
      <c r="P23" s="111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</row>
    <row r="24" spans="1:44" ht="23.25" x14ac:dyDescent="0.35">
      <c r="A24" s="108"/>
      <c r="B24" s="108"/>
      <c r="C24" s="108"/>
      <c r="D24" s="111"/>
      <c r="E24" s="116"/>
      <c r="F24" s="112"/>
      <c r="G24" s="112"/>
      <c r="H24" s="112"/>
      <c r="I24" s="112"/>
      <c r="J24" s="112"/>
      <c r="K24" s="112"/>
      <c r="L24" s="112"/>
      <c r="M24" s="112"/>
      <c r="N24" s="120" t="s">
        <v>136</v>
      </c>
      <c r="O24" s="118"/>
      <c r="P24" s="111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</row>
    <row r="25" spans="1:44" x14ac:dyDescent="0.2">
      <c r="A25" s="108"/>
      <c r="B25" s="108"/>
      <c r="C25" s="108"/>
      <c r="D25" s="111"/>
      <c r="E25" s="116"/>
      <c r="F25" s="112"/>
      <c r="G25" s="112"/>
      <c r="H25" s="112"/>
      <c r="I25" s="112"/>
      <c r="J25" s="112"/>
      <c r="K25" s="112"/>
      <c r="L25" s="112"/>
      <c r="M25" s="112"/>
      <c r="N25" s="112"/>
      <c r="O25" s="118"/>
      <c r="P25" s="111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</row>
    <row r="26" spans="1:44" x14ac:dyDescent="0.2">
      <c r="A26" s="108"/>
      <c r="B26" s="108"/>
      <c r="C26" s="108"/>
      <c r="D26" s="111"/>
      <c r="E26" s="116"/>
      <c r="F26" s="112"/>
      <c r="G26" s="112"/>
      <c r="H26" s="112"/>
      <c r="I26" s="112"/>
      <c r="J26" s="112"/>
      <c r="K26" s="112"/>
      <c r="L26" s="112"/>
      <c r="M26" s="112"/>
      <c r="N26" s="112"/>
      <c r="O26" s="118"/>
      <c r="P26" s="111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</row>
    <row r="27" spans="1:44" x14ac:dyDescent="0.2">
      <c r="A27" s="108"/>
      <c r="B27" s="108"/>
      <c r="C27" s="108"/>
      <c r="D27" s="111"/>
      <c r="E27" s="116"/>
      <c r="F27" s="112"/>
      <c r="G27" s="112"/>
      <c r="H27" s="112"/>
      <c r="I27" s="112"/>
      <c r="J27" s="112"/>
      <c r="K27" s="112"/>
      <c r="L27" s="112"/>
      <c r="M27" s="112"/>
      <c r="N27" s="112"/>
      <c r="O27" s="118"/>
      <c r="P27" s="111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</row>
    <row r="28" spans="1:44" x14ac:dyDescent="0.2">
      <c r="A28" s="108"/>
      <c r="B28" s="108"/>
      <c r="C28" s="108"/>
      <c r="D28" s="111"/>
      <c r="E28" s="116"/>
      <c r="F28" s="112"/>
      <c r="G28" s="112"/>
      <c r="H28" s="112"/>
      <c r="I28" s="112"/>
      <c r="J28" s="112"/>
      <c r="K28" s="112"/>
      <c r="L28" s="112"/>
      <c r="M28" s="112"/>
      <c r="N28" s="112"/>
      <c r="O28" s="118"/>
      <c r="P28" s="111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</row>
    <row r="29" spans="1:44" x14ac:dyDescent="0.2">
      <c r="A29" s="108"/>
      <c r="B29" s="108"/>
      <c r="C29" s="108"/>
      <c r="D29" s="111"/>
      <c r="E29" s="116"/>
      <c r="F29" s="112"/>
      <c r="G29" s="112"/>
      <c r="H29" s="112"/>
      <c r="I29" s="112"/>
      <c r="J29" s="112"/>
      <c r="K29" s="112"/>
      <c r="L29" s="112"/>
      <c r="M29" s="112"/>
      <c r="N29" s="112"/>
      <c r="O29" s="118"/>
      <c r="P29" s="111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</row>
    <row r="30" spans="1:44" x14ac:dyDescent="0.2">
      <c r="A30" s="108"/>
      <c r="B30" s="108"/>
      <c r="C30" s="108"/>
      <c r="D30" s="111"/>
      <c r="E30" s="116"/>
      <c r="F30" s="112"/>
      <c r="G30" s="112"/>
      <c r="H30" s="112"/>
      <c r="I30" s="112"/>
      <c r="J30" s="112"/>
      <c r="K30" s="112"/>
      <c r="L30" s="112"/>
      <c r="M30" s="112"/>
      <c r="N30" s="112"/>
      <c r="O30" s="118"/>
      <c r="P30" s="111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</row>
    <row r="31" spans="1:44" x14ac:dyDescent="0.2">
      <c r="A31" s="108"/>
      <c r="B31" s="108"/>
      <c r="C31" s="108"/>
      <c r="D31" s="111"/>
      <c r="E31" s="116"/>
      <c r="F31" s="112"/>
      <c r="G31" s="112"/>
      <c r="H31" s="112"/>
      <c r="I31" s="112"/>
      <c r="J31" s="112"/>
      <c r="K31" s="112"/>
      <c r="L31" s="112"/>
      <c r="M31" s="112"/>
      <c r="N31" s="112"/>
      <c r="O31" s="118"/>
      <c r="P31" s="111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</row>
    <row r="32" spans="1:44" x14ac:dyDescent="0.2">
      <c r="A32" s="108"/>
      <c r="B32" s="108"/>
      <c r="C32" s="108"/>
      <c r="D32" s="111"/>
      <c r="E32" s="116"/>
      <c r="F32" s="112"/>
      <c r="G32" s="112"/>
      <c r="H32" s="112"/>
      <c r="I32" s="112"/>
      <c r="J32" s="112"/>
      <c r="K32" s="112"/>
      <c r="L32" s="112"/>
      <c r="M32" s="112"/>
      <c r="N32" s="112"/>
      <c r="O32" s="118"/>
      <c r="P32" s="111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</row>
    <row r="33" spans="1:44" x14ac:dyDescent="0.2">
      <c r="A33" s="108"/>
      <c r="B33" s="108"/>
      <c r="C33" s="108"/>
      <c r="D33" s="111"/>
      <c r="E33" s="116"/>
      <c r="F33" s="112"/>
      <c r="G33" s="112"/>
      <c r="H33" s="112"/>
      <c r="I33" s="112"/>
      <c r="J33" s="112"/>
      <c r="K33" s="112"/>
      <c r="L33" s="112"/>
      <c r="M33" s="112"/>
      <c r="N33" s="121" t="s">
        <v>137</v>
      </c>
      <c r="O33" s="118"/>
      <c r="P33" s="111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</row>
    <row r="34" spans="1:44" x14ac:dyDescent="0.2">
      <c r="A34" s="108"/>
      <c r="B34" s="108"/>
      <c r="C34" s="108"/>
      <c r="D34" s="111"/>
      <c r="E34" s="116"/>
      <c r="F34" s="112"/>
      <c r="G34" s="112"/>
      <c r="H34" s="112"/>
      <c r="I34" s="112"/>
      <c r="J34" s="112"/>
      <c r="K34" s="112"/>
      <c r="L34" s="112"/>
      <c r="M34" s="112"/>
      <c r="N34" s="122" t="s">
        <v>133</v>
      </c>
      <c r="O34" s="118"/>
      <c r="P34" s="111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</row>
    <row r="35" spans="1:44" x14ac:dyDescent="0.2">
      <c r="A35" s="108"/>
      <c r="B35" s="108"/>
      <c r="C35" s="108"/>
      <c r="D35" s="111"/>
      <c r="E35" s="116"/>
      <c r="F35" s="112"/>
      <c r="G35" s="112"/>
      <c r="H35" s="112"/>
      <c r="I35" s="112"/>
      <c r="J35" s="112"/>
      <c r="K35" s="112"/>
      <c r="L35" s="112"/>
      <c r="M35" s="112"/>
      <c r="N35" s="123"/>
      <c r="O35" s="118"/>
      <c r="P35" s="111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</row>
    <row r="36" spans="1:44" x14ac:dyDescent="0.2">
      <c r="A36" s="108"/>
      <c r="B36" s="108"/>
      <c r="C36" s="108"/>
      <c r="D36" s="111"/>
      <c r="E36" s="116"/>
      <c r="F36" s="112"/>
      <c r="G36" s="112"/>
      <c r="H36" s="112"/>
      <c r="I36" s="112"/>
      <c r="J36" s="112"/>
      <c r="K36" s="112"/>
      <c r="L36" s="112"/>
      <c r="M36" s="112"/>
      <c r="N36" s="112"/>
      <c r="O36" s="118"/>
      <c r="P36" s="111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</row>
    <row r="37" spans="1:44" ht="13.5" thickBot="1" x14ac:dyDescent="0.25">
      <c r="A37" s="108"/>
      <c r="B37" s="108"/>
      <c r="C37" s="108"/>
      <c r="D37" s="111"/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6"/>
      <c r="P37" s="111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</row>
    <row r="38" spans="1:44" ht="13.5" thickTop="1" x14ac:dyDescent="0.2">
      <c r="A38" s="108"/>
      <c r="B38" s="108"/>
      <c r="C38" s="108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/>
      <c r="O38" s="111"/>
      <c r="P38" s="111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</row>
    <row r="39" spans="1:44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</row>
    <row r="40" spans="1:44" x14ac:dyDescent="0.2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</row>
    <row r="41" spans="1:44" x14ac:dyDescent="0.2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</row>
    <row r="42" spans="1:44" x14ac:dyDescent="0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</row>
    <row r="43" spans="1:44" x14ac:dyDescent="0.2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1:44" x14ac:dyDescent="0.2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9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1:44" x14ac:dyDescent="0.2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</row>
    <row r="46" spans="1:44" x14ac:dyDescent="0.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9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</row>
    <row r="47" spans="1:44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</row>
    <row r="48" spans="1:44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</row>
    <row r="49" spans="1:44" x14ac:dyDescent="0.2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</row>
    <row r="50" spans="1:44" x14ac:dyDescent="0.2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9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</row>
    <row r="51" spans="1:44" hidden="1" x14ac:dyDescent="0.2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9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</row>
    <row r="52" spans="1:44" hidden="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9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</row>
    <row r="53" spans="1:44" hidden="1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</row>
    <row r="54" spans="1:44" hidden="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9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</row>
    <row r="55" spans="1:44" hidden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9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</row>
    <row r="56" spans="1:44" hidden="1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9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</row>
    <row r="57" spans="1:44" hidden="1" x14ac:dyDescent="0.2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9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</row>
    <row r="58" spans="1:44" hidden="1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9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</row>
    <row r="59" spans="1:44" hidden="1" x14ac:dyDescent="0.2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</row>
    <row r="60" spans="1:44" hidden="1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9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</row>
    <row r="61" spans="1:44" hidden="1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9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</row>
    <row r="62" spans="1:44" hidden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9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</row>
    <row r="63" spans="1:44" hidden="1" x14ac:dyDescent="0.2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9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</row>
    <row r="64" spans="1:44" hidden="1" x14ac:dyDescent="0.2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</row>
    <row r="65" spans="1:44" hidden="1" x14ac:dyDescent="0.2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9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</row>
    <row r="66" spans="1:44" hidden="1" x14ac:dyDescent="0.2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9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</row>
    <row r="67" spans="1:44" hidden="1" x14ac:dyDescent="0.2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9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</row>
    <row r="68" spans="1:44" hidden="1" x14ac:dyDescent="0.2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9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</row>
    <row r="69" spans="1:44" hidden="1" x14ac:dyDescent="0.2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9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</row>
    <row r="70" spans="1:44" hidden="1" x14ac:dyDescent="0.2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9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</row>
    <row r="71" spans="1:44" hidden="1" x14ac:dyDescent="0.2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9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</row>
    <row r="72" spans="1:44" hidden="1" x14ac:dyDescent="0.2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9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</row>
    <row r="73" spans="1:44" hidden="1" x14ac:dyDescent="0.2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9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</row>
    <row r="74" spans="1:44" hidden="1" x14ac:dyDescent="0.2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9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</row>
    <row r="75" spans="1:44" hidden="1" x14ac:dyDescent="0.2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9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</row>
    <row r="76" spans="1:44" hidden="1" x14ac:dyDescent="0.2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9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</row>
    <row r="77" spans="1:44" hidden="1" x14ac:dyDescent="0.2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9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</row>
    <row r="78" spans="1:44" hidden="1" x14ac:dyDescent="0.2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9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</row>
    <row r="79" spans="1:44" hidden="1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9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</row>
    <row r="80" spans="1:44" hidden="1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9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</row>
    <row r="81" spans="1:44" hidden="1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9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</row>
    <row r="82" spans="1:44" hidden="1" x14ac:dyDescent="0.2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9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</row>
  </sheetData>
  <sheetProtection selectLockedCells="1" selectUnlockedCells="1"/>
  <hyperlinks>
    <hyperlink ref="N34" r:id="rId1" tooltip="Klik hier voor meer tips." xr:uid="{8E8AA886-B8DC-4973-9869-462F7ECE0DE1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9281-162B-47EF-B22E-BB645BCD5450}">
  <dimension ref="B1:H23"/>
  <sheetViews>
    <sheetView showGridLines="0" workbookViewId="0"/>
  </sheetViews>
  <sheetFormatPr defaultColWidth="8.140625" defaultRowHeight="15" x14ac:dyDescent="0.25"/>
  <cols>
    <col min="1" max="1" width="2.85546875" style="3" customWidth="1"/>
    <col min="2" max="2" width="25.140625" style="3" customWidth="1"/>
    <col min="3" max="3" width="26.28515625" style="3" bestFit="1" customWidth="1"/>
    <col min="4" max="4" width="18.7109375" style="3" customWidth="1"/>
    <col min="5" max="5" width="3.85546875" style="3" customWidth="1"/>
    <col min="6" max="6" width="25.140625" style="3" customWidth="1"/>
    <col min="7" max="7" width="28.85546875" style="3" customWidth="1"/>
    <col min="8" max="8" width="26" style="3" customWidth="1"/>
    <col min="9" max="16384" width="8.140625" style="3"/>
  </cols>
  <sheetData>
    <row r="1" spans="2:8" ht="15.75" thickBot="1" x14ac:dyDescent="0.3"/>
    <row r="2" spans="2:8" x14ac:dyDescent="0.25">
      <c r="B2" s="8" t="s">
        <v>21</v>
      </c>
      <c r="C2" s="11" t="s">
        <v>20</v>
      </c>
      <c r="D2" s="4"/>
    </row>
    <row r="3" spans="2:8" x14ac:dyDescent="0.25">
      <c r="B3" s="9" t="s">
        <v>22</v>
      </c>
      <c r="C3" s="13" t="s">
        <v>133</v>
      </c>
      <c r="D3" s="5" t="str">
        <f>HYPERLINK("http://"&amp;C3,C3)</f>
        <v>www.ginfo.nl</v>
      </c>
    </row>
    <row r="4" spans="2:8" x14ac:dyDescent="0.25">
      <c r="B4" s="9" t="s">
        <v>23</v>
      </c>
      <c r="C4" s="12" t="s">
        <v>24</v>
      </c>
      <c r="D4" s="6"/>
    </row>
    <row r="5" spans="2:8" x14ac:dyDescent="0.25">
      <c r="B5" s="9" t="s">
        <v>3</v>
      </c>
      <c r="C5" s="13" t="s">
        <v>26</v>
      </c>
      <c r="D5" s="5" t="str">
        <f>HYPERLINK("mailto:"&amp;C5,C5)</f>
        <v>gijs@ginfo.nl</v>
      </c>
    </row>
    <row r="6" spans="2:8" ht="15.75" thickBot="1" x14ac:dyDescent="0.3">
      <c r="B6" s="10" t="s">
        <v>25</v>
      </c>
      <c r="C6" s="14" t="str">
        <f ca="1">TEXT(TODAY(),"d-m-jjjj")</f>
        <v>24-1-2023</v>
      </c>
      <c r="D6" s="7"/>
    </row>
    <row r="7" spans="2:8" ht="15.75" thickBot="1" x14ac:dyDescent="0.3"/>
    <row r="8" spans="2:8" x14ac:dyDescent="0.25">
      <c r="B8" s="8" t="s">
        <v>27</v>
      </c>
      <c r="C8" s="53">
        <f>MAX(Mnden)</f>
        <v>44896</v>
      </c>
      <c r="D8" s="15"/>
    </row>
    <row r="9" spans="2:8" x14ac:dyDescent="0.25">
      <c r="B9" s="9" t="s">
        <v>30</v>
      </c>
      <c r="C9" s="12" t="s">
        <v>86</v>
      </c>
      <c r="D9" s="6"/>
    </row>
    <row r="10" spans="2:8" ht="15.75" thickBot="1" x14ac:dyDescent="0.3">
      <c r="B10" s="10" t="s">
        <v>31</v>
      </c>
      <c r="C10" s="14">
        <v>44774</v>
      </c>
      <c r="D10" s="54">
        <f>IF(C9="Ja",C8,C10)</f>
        <v>44774</v>
      </c>
    </row>
    <row r="11" spans="2:8" ht="15.75" thickBot="1" x14ac:dyDescent="0.3"/>
    <row r="12" spans="2:8" x14ac:dyDescent="0.25">
      <c r="B12" s="128" t="s">
        <v>32</v>
      </c>
      <c r="C12" s="129"/>
      <c r="D12" s="130"/>
      <c r="F12" s="128" t="s">
        <v>49</v>
      </c>
      <c r="G12" s="129"/>
      <c r="H12" s="130"/>
    </row>
    <row r="13" spans="2:8" x14ac:dyDescent="0.25">
      <c r="B13" s="9" t="s">
        <v>37</v>
      </c>
      <c r="C13" s="12" t="s">
        <v>129</v>
      </c>
      <c r="D13" s="6"/>
      <c r="F13" s="9" t="s">
        <v>37</v>
      </c>
      <c r="G13" s="12" t="s">
        <v>50</v>
      </c>
      <c r="H13" s="6"/>
    </row>
    <row r="14" spans="2:8" x14ac:dyDescent="0.25">
      <c r="B14" s="9" t="s">
        <v>38</v>
      </c>
      <c r="C14" s="12" t="s">
        <v>21</v>
      </c>
      <c r="D14" s="6" t="str">
        <f>IFERROR(INDEX(tblTkstOnderdelen[Inhoud],MATCH(C14,TkstOnderdelen,0)),"")</f>
        <v>G-Info</v>
      </c>
      <c r="F14" s="9" t="s">
        <v>38</v>
      </c>
      <c r="G14" s="12" t="s">
        <v>23</v>
      </c>
      <c r="H14" s="6" t="str">
        <f>IFERROR(INDEX(tblTkstOnderdelen[Inhoud],MATCH(G14,TkstOnderdelen,0)),"")</f>
        <v>Gijs Verbruggen</v>
      </c>
    </row>
    <row r="15" spans="2:8" x14ac:dyDescent="0.25">
      <c r="B15" s="9" t="s">
        <v>39</v>
      </c>
      <c r="C15" s="12" t="s">
        <v>48</v>
      </c>
      <c r="D15" s="6"/>
      <c r="F15" s="9" t="s">
        <v>39</v>
      </c>
      <c r="G15" s="12" t="s">
        <v>51</v>
      </c>
      <c r="H15" s="6"/>
    </row>
    <row r="16" spans="2:8" x14ac:dyDescent="0.25">
      <c r="B16" s="9" t="s">
        <v>40</v>
      </c>
      <c r="C16" s="12" t="s">
        <v>47</v>
      </c>
      <c r="D16" s="6" t="str">
        <f>IFERROR(INDEX(tblTkstOnderdelen[Inhoud],MATCH(C16,TkstOnderdelen,0)),"")</f>
        <v>aug 2022</v>
      </c>
      <c r="F16" s="9" t="s">
        <v>40</v>
      </c>
      <c r="G16" s="12" t="s">
        <v>36</v>
      </c>
      <c r="H16" s="6" t="str">
        <f ca="1">IFERROR(INDEX(tblTkstOnderdelen[Inhoud],MATCH(G16,TkstOnderdelen,0)),"")</f>
        <v>24-1-2023</v>
      </c>
    </row>
    <row r="17" spans="2:8" x14ac:dyDescent="0.25">
      <c r="B17" s="9" t="s">
        <v>41</v>
      </c>
      <c r="C17" s="12"/>
      <c r="D17" s="6"/>
      <c r="F17" s="9" t="s">
        <v>41</v>
      </c>
      <c r="G17" s="12" t="s">
        <v>48</v>
      </c>
      <c r="H17" s="6"/>
    </row>
    <row r="18" spans="2:8" x14ac:dyDescent="0.25">
      <c r="B18" s="9" t="s">
        <v>42</v>
      </c>
      <c r="C18" s="12"/>
      <c r="D18" s="6" t="str">
        <f>IFERROR(INDEX(tblTkstOnderdelen[Inhoud],MATCH(C18,TkstOnderdelen,0)),"")</f>
        <v/>
      </c>
      <c r="F18" s="9" t="s">
        <v>42</v>
      </c>
      <c r="G18" s="12" t="s">
        <v>3</v>
      </c>
      <c r="H18" s="6" t="str">
        <f>IFERROR(INDEX(tblTkstOnderdelen[Inhoud],MATCH(G18,TkstOnderdelen,0)),"")</f>
        <v>gijs@ginfo.nl</v>
      </c>
    </row>
    <row r="19" spans="2:8" x14ac:dyDescent="0.25">
      <c r="B19" s="9" t="s">
        <v>43</v>
      </c>
      <c r="C19" s="12"/>
      <c r="D19" s="6"/>
      <c r="F19" s="9" t="s">
        <v>43</v>
      </c>
      <c r="G19" s="12" t="s">
        <v>0</v>
      </c>
      <c r="H19" s="6"/>
    </row>
    <row r="20" spans="2:8" x14ac:dyDescent="0.25">
      <c r="B20" s="9" t="s">
        <v>44</v>
      </c>
      <c r="C20" s="12"/>
      <c r="D20" s="6" t="str">
        <f>IFERROR(INDEX(tblTkstOnderdelen[Inhoud],MATCH(C20,TkstOnderdelen,0)),"")</f>
        <v/>
      </c>
      <c r="F20" s="9" t="s">
        <v>44</v>
      </c>
      <c r="G20" s="12"/>
      <c r="H20" s="6" t="str">
        <f>IFERROR(INDEX(tblTkstOnderdelen[Inhoud],MATCH(G20,TkstOnderdelen,0)),"")</f>
        <v/>
      </c>
    </row>
    <row r="21" spans="2:8" x14ac:dyDescent="0.25">
      <c r="B21" s="9" t="s">
        <v>45</v>
      </c>
      <c r="C21" s="12"/>
      <c r="D21" s="6"/>
      <c r="F21" s="9" t="s">
        <v>45</v>
      </c>
      <c r="G21" s="12"/>
      <c r="H21" s="6"/>
    </row>
    <row r="22" spans="2:8" x14ac:dyDescent="0.25">
      <c r="B22" s="24" t="s">
        <v>46</v>
      </c>
      <c r="C22" s="25"/>
      <c r="D22" s="26" t="str">
        <f>IFERROR(INDEX(tblTkstOnderdelen[Inhoud],MATCH(C22,TkstOnderdelen,0)),"")</f>
        <v/>
      </c>
      <c r="F22" s="24" t="s">
        <v>46</v>
      </c>
      <c r="G22" s="25"/>
      <c r="H22" s="26" t="str">
        <f>IFERROR(INDEX(tblTkstOnderdelen[Inhoud],MATCH(G22,TkstOnderdelen,0)),"")</f>
        <v/>
      </c>
    </row>
    <row r="23" spans="2:8" ht="15.75" thickBot="1" x14ac:dyDescent="0.3">
      <c r="B23" s="10" t="s">
        <v>32</v>
      </c>
      <c r="C23" s="23" t="str">
        <f>C13&amp;D14&amp;C15&amp;D16&amp;C17&amp;D18&amp;C19&amp;D20&amp;C21&amp;D22</f>
        <v>Rapportage G-Info, aug 2022</v>
      </c>
      <c r="D23" s="7"/>
      <c r="F23" s="10" t="s">
        <v>49</v>
      </c>
      <c r="G23" s="23" t="str">
        <f ca="1">G13&amp;H14&amp;G15&amp;H16&amp;G17&amp;H18&amp;G19&amp;H20&amp;G21&amp;H22</f>
        <v xml:space="preserve">Opgesteld door Gijs Verbruggen op 24-1-2023, gijs@ginfo.nl </v>
      </c>
      <c r="H23" s="7"/>
    </row>
  </sheetData>
  <mergeCells count="2">
    <mergeCell ref="B12:D12"/>
    <mergeCell ref="F12:H12"/>
  </mergeCells>
  <conditionalFormatting sqref="C13:C22 G13:G22">
    <cfRule type="cellIs" dxfId="64" priority="1" operator="equal">
      <formula>""</formula>
    </cfRule>
  </conditionalFormatting>
  <dataValidations count="2">
    <dataValidation type="list" allowBlank="1" showInputMessage="1" showErrorMessage="1" sqref="C9" xr:uid="{A4DCD3EB-725D-46EF-9BA3-7074868A7473}">
      <formula1>"Ja,Nee"</formula1>
    </dataValidation>
    <dataValidation type="list" allowBlank="1" showInputMessage="1" showErrorMessage="1" sqref="C14 C16 C18 C20 C22 G14 G16 G18 G20 G22" xr:uid="{9625E369-A223-4270-B9AA-EFDF2CDC0654}">
      <formula1>TkstOnderdelen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0F52-FB1F-44D3-BFBD-0BDD0BCF11AA}">
  <dimension ref="B2:I21"/>
  <sheetViews>
    <sheetView showGridLines="0" zoomScaleNormal="100" workbookViewId="0"/>
  </sheetViews>
  <sheetFormatPr defaultRowHeight="15" x14ac:dyDescent="0.25"/>
  <cols>
    <col min="1" max="1" width="2.85546875" customWidth="1"/>
    <col min="2" max="2" width="23.85546875" bestFit="1" customWidth="1"/>
    <col min="3" max="3" width="20.5703125" bestFit="1" customWidth="1"/>
    <col min="4" max="4" width="5.85546875" customWidth="1"/>
    <col min="5" max="5" width="22.85546875" bestFit="1" customWidth="1"/>
    <col min="6" max="6" width="70.140625" bestFit="1" customWidth="1"/>
    <col min="7" max="7" width="3.42578125" customWidth="1"/>
    <col min="8" max="8" width="21.7109375" bestFit="1" customWidth="1"/>
    <col min="9" max="9" width="12" bestFit="1" customWidth="1"/>
  </cols>
  <sheetData>
    <row r="2" spans="2:9" ht="21" x14ac:dyDescent="0.35">
      <c r="B2" s="133" t="s">
        <v>134</v>
      </c>
      <c r="C2" s="133"/>
      <c r="D2" s="133"/>
      <c r="E2" s="133"/>
      <c r="F2" s="133"/>
      <c r="G2" s="133"/>
      <c r="H2" s="133"/>
      <c r="I2" s="133"/>
    </row>
    <row r="3" spans="2:9" ht="15.75" thickBot="1" x14ac:dyDescent="0.3"/>
    <row r="4" spans="2:9" ht="15.75" thickBot="1" x14ac:dyDescent="0.3">
      <c r="B4" s="16" t="s">
        <v>29</v>
      </c>
      <c r="C4" s="20" t="s">
        <v>28</v>
      </c>
    </row>
    <row r="5" spans="2:9" ht="15.75" thickBot="1" x14ac:dyDescent="0.3"/>
    <row r="6" spans="2:9" ht="15.75" x14ac:dyDescent="0.25">
      <c r="B6" s="131" t="s">
        <v>33</v>
      </c>
      <c r="C6" s="132"/>
      <c r="E6" s="131" t="s">
        <v>7</v>
      </c>
      <c r="F6" s="132"/>
      <c r="H6" s="8" t="s">
        <v>112</v>
      </c>
      <c r="I6" s="4">
        <f>1/24</f>
        <v>4.1666666666666664E-2</v>
      </c>
    </row>
    <row r="7" spans="2:9" x14ac:dyDescent="0.25">
      <c r="B7" s="31" t="s">
        <v>34</v>
      </c>
      <c r="C7" s="22" t="s">
        <v>35</v>
      </c>
      <c r="E7" s="21" t="s">
        <v>6</v>
      </c>
      <c r="F7" s="22" t="s">
        <v>52</v>
      </c>
      <c r="H7" s="9" t="s">
        <v>113</v>
      </c>
      <c r="I7" s="6">
        <f>I6/60</f>
        <v>6.9444444444444436E-4</v>
      </c>
    </row>
    <row r="8" spans="2:9" ht="15.75" thickBot="1" x14ac:dyDescent="0.3">
      <c r="B8" s="19" t="s">
        <v>21</v>
      </c>
      <c r="C8" s="17" t="str">
        <f>BedrNaam</f>
        <v>G-Info</v>
      </c>
      <c r="E8" s="19" t="s">
        <v>58</v>
      </c>
      <c r="F8" s="17" t="s">
        <v>54</v>
      </c>
      <c r="H8" s="10" t="s">
        <v>132</v>
      </c>
      <c r="I8" s="7">
        <f>I7/60</f>
        <v>1.1574074074074073E-5</v>
      </c>
    </row>
    <row r="9" spans="2:9" x14ac:dyDescent="0.25">
      <c r="B9" s="28" t="s">
        <v>22</v>
      </c>
      <c r="C9" t="str">
        <f>BedrWeb</f>
        <v>www.ginfo.nl</v>
      </c>
      <c r="E9" s="19" t="s">
        <v>59</v>
      </c>
      <c r="F9" s="17" t="s">
        <v>55</v>
      </c>
    </row>
    <row r="10" spans="2:9" x14ac:dyDescent="0.25">
      <c r="B10" s="19" t="s">
        <v>3</v>
      </c>
      <c r="C10" s="17" t="str">
        <f>BedrEmail</f>
        <v>gijs@ginfo.nl</v>
      </c>
      <c r="E10" s="19" t="s">
        <v>53</v>
      </c>
      <c r="F10" s="17" t="s">
        <v>111</v>
      </c>
    </row>
    <row r="11" spans="2:9" x14ac:dyDescent="0.25">
      <c r="B11" s="19" t="s">
        <v>23</v>
      </c>
      <c r="C11" s="17" t="str">
        <f>BedrOpsteller</f>
        <v>Gijs Verbruggen</v>
      </c>
      <c r="E11" s="19" t="s">
        <v>60</v>
      </c>
      <c r="F11" s="1" t="s">
        <v>61</v>
      </c>
    </row>
    <row r="12" spans="2:9" x14ac:dyDescent="0.25">
      <c r="B12" s="19" t="s">
        <v>47</v>
      </c>
      <c r="C12" s="17" t="str">
        <f>TEXT(DtmRef,OpmDtm)</f>
        <v>aug 2022</v>
      </c>
      <c r="E12" s="28" t="s">
        <v>1</v>
      </c>
      <c r="F12" s="30" t="s">
        <v>2</v>
      </c>
    </row>
    <row r="13" spans="2:9" x14ac:dyDescent="0.25">
      <c r="B13" s="19" t="s">
        <v>36</v>
      </c>
      <c r="C13" s="17" t="str">
        <f ca="1">Dtm</f>
        <v>24-1-2023</v>
      </c>
      <c r="E13" s="28" t="s">
        <v>56</v>
      </c>
      <c r="F13" s="29" t="s">
        <v>57</v>
      </c>
    </row>
    <row r="14" spans="2:9" x14ac:dyDescent="0.25">
      <c r="E14" s="28" t="s">
        <v>62</v>
      </c>
      <c r="F14" s="29" t="s">
        <v>63</v>
      </c>
    </row>
    <row r="15" spans="2:9" x14ac:dyDescent="0.25">
      <c r="E15" s="28" t="s">
        <v>64</v>
      </c>
      <c r="F15" t="s">
        <v>65</v>
      </c>
    </row>
    <row r="16" spans="2:9" x14ac:dyDescent="0.25">
      <c r="E16" s="28" t="s">
        <v>66</v>
      </c>
      <c r="F16" t="s">
        <v>67</v>
      </c>
    </row>
    <row r="17" spans="5:6" x14ac:dyDescent="0.25">
      <c r="E17" s="28" t="s">
        <v>130</v>
      </c>
      <c r="F17" t="s">
        <v>131</v>
      </c>
    </row>
    <row r="18" spans="5:6" x14ac:dyDescent="0.25">
      <c r="E18" s="28" t="s">
        <v>68</v>
      </c>
      <c r="F18" t="s">
        <v>127</v>
      </c>
    </row>
    <row r="19" spans="5:6" x14ac:dyDescent="0.25">
      <c r="E19" s="28" t="s">
        <v>69</v>
      </c>
      <c r="F19" t="s">
        <v>128</v>
      </c>
    </row>
    <row r="20" spans="5:6" x14ac:dyDescent="0.25">
      <c r="E20" s="28" t="s">
        <v>70</v>
      </c>
      <c r="F20" t="s">
        <v>4</v>
      </c>
    </row>
    <row r="21" spans="5:6" x14ac:dyDescent="0.25">
      <c r="E21" s="28" t="s">
        <v>71</v>
      </c>
      <c r="F21" t="s">
        <v>65</v>
      </c>
    </row>
  </sheetData>
  <mergeCells count="3">
    <mergeCell ref="B6:C6"/>
    <mergeCell ref="E6:F6"/>
    <mergeCell ref="B2:I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4BEE-04BA-4034-90B7-145A1E47143B}">
  <dimension ref="B2:J39"/>
  <sheetViews>
    <sheetView showGridLines="0" zoomScaleNormal="100" workbookViewId="0"/>
  </sheetViews>
  <sheetFormatPr defaultRowHeight="15" x14ac:dyDescent="0.25"/>
  <cols>
    <col min="1" max="1" width="2.85546875" customWidth="1"/>
    <col min="2" max="2" width="14.42578125" bestFit="1" customWidth="1"/>
    <col min="3" max="3" width="20.7109375" bestFit="1" customWidth="1"/>
    <col min="4" max="4" width="23" bestFit="1" customWidth="1"/>
    <col min="5" max="5" width="11.5703125" bestFit="1" customWidth="1"/>
    <col min="6" max="6" width="40.7109375" bestFit="1" customWidth="1"/>
  </cols>
  <sheetData>
    <row r="2" spans="2:10" ht="21" x14ac:dyDescent="0.35">
      <c r="B2" s="133" t="s">
        <v>135</v>
      </c>
      <c r="C2" s="133"/>
      <c r="D2" s="133"/>
      <c r="E2" s="133"/>
      <c r="F2" s="133"/>
    </row>
    <row r="3" spans="2:10" ht="15.75" thickBot="1" x14ac:dyDescent="0.3"/>
    <row r="4" spans="2:10" ht="15.75" x14ac:dyDescent="0.25">
      <c r="B4" s="131" t="s">
        <v>73</v>
      </c>
      <c r="C4" s="132"/>
      <c r="D4" s="132"/>
      <c r="E4" s="132"/>
      <c r="F4" s="132"/>
    </row>
    <row r="5" spans="2:10" x14ac:dyDescent="0.25">
      <c r="B5" s="33" t="s">
        <v>72</v>
      </c>
      <c r="C5" s="33" t="s">
        <v>5</v>
      </c>
      <c r="D5" s="33" t="s">
        <v>6</v>
      </c>
      <c r="E5" s="33" t="s">
        <v>7</v>
      </c>
      <c r="F5" s="33" t="s">
        <v>8</v>
      </c>
    </row>
    <row r="6" spans="2:10" x14ac:dyDescent="0.25">
      <c r="B6" s="32">
        <v>1</v>
      </c>
      <c r="C6" s="32" t="s">
        <v>11</v>
      </c>
      <c r="D6" t="s">
        <v>74</v>
      </c>
      <c r="E6" t="s">
        <v>59</v>
      </c>
    </row>
    <row r="7" spans="2:10" x14ac:dyDescent="0.25">
      <c r="B7" s="32">
        <v>2</v>
      </c>
      <c r="C7" s="32" t="s">
        <v>12</v>
      </c>
      <c r="D7" t="s">
        <v>75</v>
      </c>
      <c r="E7" t="s">
        <v>68</v>
      </c>
      <c r="F7" t="s">
        <v>83</v>
      </c>
    </row>
    <row r="8" spans="2:10" x14ac:dyDescent="0.25">
      <c r="B8" s="32">
        <v>3</v>
      </c>
      <c r="C8" s="32" t="s">
        <v>13</v>
      </c>
      <c r="D8" t="s">
        <v>76</v>
      </c>
      <c r="E8" t="s">
        <v>59</v>
      </c>
    </row>
    <row r="9" spans="2:10" x14ac:dyDescent="0.25">
      <c r="B9" s="32">
        <v>4</v>
      </c>
      <c r="C9" s="32" t="s">
        <v>14</v>
      </c>
      <c r="D9" t="s">
        <v>80</v>
      </c>
      <c r="E9" t="s">
        <v>1</v>
      </c>
      <c r="J9" s="61"/>
    </row>
    <row r="10" spans="2:10" x14ac:dyDescent="0.25">
      <c r="B10" s="32">
        <v>5</v>
      </c>
      <c r="C10" s="32" t="s">
        <v>15</v>
      </c>
      <c r="D10" t="s">
        <v>77</v>
      </c>
      <c r="E10" t="s">
        <v>64</v>
      </c>
      <c r="J10" s="63"/>
    </row>
    <row r="11" spans="2:10" x14ac:dyDescent="0.25">
      <c r="B11" s="32">
        <v>6</v>
      </c>
      <c r="C11" s="32" t="s">
        <v>16</v>
      </c>
      <c r="D11" t="s">
        <v>78</v>
      </c>
      <c r="E11" t="s">
        <v>1</v>
      </c>
    </row>
    <row r="12" spans="2:10" x14ac:dyDescent="0.25">
      <c r="B12" s="32">
        <v>7</v>
      </c>
      <c r="C12" s="32" t="s">
        <v>17</v>
      </c>
      <c r="D12" t="s">
        <v>79</v>
      </c>
      <c r="E12" t="s">
        <v>1</v>
      </c>
    </row>
    <row r="13" spans="2:10" x14ac:dyDescent="0.25">
      <c r="B13" s="32">
        <v>8</v>
      </c>
      <c r="C13" s="32" t="s">
        <v>18</v>
      </c>
      <c r="D13" t="s">
        <v>84</v>
      </c>
      <c r="E13" t="s">
        <v>59</v>
      </c>
      <c r="F13" t="s">
        <v>126</v>
      </c>
    </row>
    <row r="14" spans="2:10" x14ac:dyDescent="0.25">
      <c r="B14" s="32">
        <v>9</v>
      </c>
      <c r="C14" s="32" t="s">
        <v>19</v>
      </c>
      <c r="D14" t="s">
        <v>81</v>
      </c>
      <c r="E14" t="s">
        <v>1</v>
      </c>
    </row>
    <row r="15" spans="2:10" x14ac:dyDescent="0.25">
      <c r="B15" s="32">
        <v>10</v>
      </c>
      <c r="C15" s="32" t="s">
        <v>9</v>
      </c>
      <c r="D15" t="s">
        <v>82</v>
      </c>
      <c r="E15" t="s">
        <v>70</v>
      </c>
    </row>
    <row r="18" spans="2:4" x14ac:dyDescent="0.25">
      <c r="B18" s="56" t="s">
        <v>72</v>
      </c>
      <c r="C18" s="33" t="s">
        <v>88</v>
      </c>
      <c r="D18" s="56" t="s">
        <v>7</v>
      </c>
    </row>
    <row r="19" spans="2:4" x14ac:dyDescent="0.25">
      <c r="B19">
        <v>1</v>
      </c>
      <c r="C19" t="s">
        <v>89</v>
      </c>
    </row>
    <row r="20" spans="2:4" x14ac:dyDescent="0.25">
      <c r="B20">
        <v>2</v>
      </c>
      <c r="C20" t="s">
        <v>90</v>
      </c>
    </row>
    <row r="21" spans="2:4" x14ac:dyDescent="0.25">
      <c r="B21">
        <v>3</v>
      </c>
      <c r="C21" t="s">
        <v>91</v>
      </c>
    </row>
    <row r="22" spans="2:4" x14ac:dyDescent="0.25">
      <c r="B22">
        <v>4</v>
      </c>
      <c r="C22" t="s">
        <v>105</v>
      </c>
    </row>
    <row r="23" spans="2:4" x14ac:dyDescent="0.25">
      <c r="B23">
        <v>5</v>
      </c>
      <c r="C23" t="s">
        <v>92</v>
      </c>
    </row>
    <row r="24" spans="2:4" x14ac:dyDescent="0.25">
      <c r="B24">
        <v>6</v>
      </c>
      <c r="C24" t="s">
        <v>93</v>
      </c>
    </row>
    <row r="25" spans="2:4" x14ac:dyDescent="0.25">
      <c r="B25">
        <v>7</v>
      </c>
      <c r="C25" t="s">
        <v>106</v>
      </c>
      <c r="D25" t="s">
        <v>56</v>
      </c>
    </row>
    <row r="26" spans="2:4" x14ac:dyDescent="0.25">
      <c r="B26">
        <v>8</v>
      </c>
      <c r="C26" t="s">
        <v>114</v>
      </c>
    </row>
    <row r="27" spans="2:4" x14ac:dyDescent="0.25">
      <c r="B27">
        <v>9</v>
      </c>
      <c r="C27" t="s">
        <v>115</v>
      </c>
    </row>
    <row r="28" spans="2:4" x14ac:dyDescent="0.25">
      <c r="B28">
        <v>10</v>
      </c>
      <c r="C28" t="s">
        <v>116</v>
      </c>
    </row>
    <row r="30" spans="2:4" ht="15.75" thickBot="1" x14ac:dyDescent="0.3"/>
    <row r="31" spans="2:4" ht="15.75" thickBot="1" x14ac:dyDescent="0.3">
      <c r="B31" s="57" t="s">
        <v>108</v>
      </c>
      <c r="C31" s="58" t="s">
        <v>124</v>
      </c>
    </row>
    <row r="33" spans="2:5" ht="15.75" thickBot="1" x14ac:dyDescent="0.3"/>
    <row r="34" spans="2:5" x14ac:dyDescent="0.25">
      <c r="B34" s="134" t="s">
        <v>119</v>
      </c>
      <c r="C34" s="135"/>
      <c r="D34" s="135"/>
      <c r="E34" s="136"/>
    </row>
    <row r="35" spans="2:5" x14ac:dyDescent="0.25">
      <c r="B35" s="65" t="s">
        <v>118</v>
      </c>
      <c r="C35" s="1">
        <v>1</v>
      </c>
      <c r="D35" s="1">
        <v>2</v>
      </c>
      <c r="E35" s="17">
        <v>5</v>
      </c>
    </row>
    <row r="36" spans="2:5" x14ac:dyDescent="0.25">
      <c r="B36" s="66"/>
      <c r="C36" s="98" t="str">
        <f>INDEX(tblDataInd[Naam],C35)</f>
        <v>Verkoop</v>
      </c>
      <c r="D36" s="98" t="str">
        <f>INDEX(tblDataInd[Naam],D35)</f>
        <v>Kosten</v>
      </c>
      <c r="E36" s="99" t="str">
        <f>INDEX(tblDataInd[Naam],E35)</f>
        <v>Klanten</v>
      </c>
    </row>
    <row r="37" spans="2:5" x14ac:dyDescent="0.25">
      <c r="B37" s="65" t="s">
        <v>107</v>
      </c>
      <c r="C37" s="1">
        <v>1</v>
      </c>
      <c r="D37" s="1"/>
      <c r="E37" s="17"/>
    </row>
    <row r="38" spans="2:5" x14ac:dyDescent="0.25">
      <c r="B38" s="34"/>
      <c r="C38" s="1">
        <v>3</v>
      </c>
      <c r="D38" s="1">
        <v>7</v>
      </c>
      <c r="E38" s="17"/>
    </row>
    <row r="39" spans="2:5" ht="15.75" thickBot="1" x14ac:dyDescent="0.3">
      <c r="B39" s="62"/>
      <c r="C39" s="50">
        <v>9</v>
      </c>
      <c r="D39" s="50">
        <v>10</v>
      </c>
      <c r="E39" s="18"/>
    </row>
  </sheetData>
  <mergeCells count="3">
    <mergeCell ref="B34:E34"/>
    <mergeCell ref="B4:F4"/>
    <mergeCell ref="B2:F2"/>
  </mergeCells>
  <dataValidations count="2">
    <dataValidation type="list" allowBlank="1" showInputMessage="1" showErrorMessage="1" sqref="E6:E15 D19:D25" xr:uid="{E9178186-1256-4143-A297-54AF7E99C452}">
      <formula1>OpmNmn</formula1>
    </dataValidation>
    <dataValidation type="list" allowBlank="1" showInputMessage="1" showErrorMessage="1" sqref="C31" xr:uid="{CDA540F6-18C4-4687-984B-E45153615FD4}">
      <formula1>"YtD,YoY"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D4BE-4295-4121-9826-C9326A85760B}">
  <dimension ref="B1:V41"/>
  <sheetViews>
    <sheetView showGridLines="0" workbookViewId="0"/>
  </sheetViews>
  <sheetFormatPr defaultColWidth="7.140625" defaultRowHeight="15" x14ac:dyDescent="0.25"/>
  <cols>
    <col min="1" max="1" width="2.7109375" customWidth="1"/>
    <col min="2" max="2" width="9.42578125" bestFit="1" customWidth="1"/>
    <col min="3" max="3" width="10.140625" bestFit="1" customWidth="1"/>
    <col min="4" max="4" width="10.5703125" customWidth="1"/>
    <col min="5" max="5" width="9.140625" bestFit="1" customWidth="1"/>
    <col min="6" max="6" width="8.28515625" bestFit="1" customWidth="1"/>
    <col min="7" max="7" width="7.85546875" bestFit="1" customWidth="1"/>
    <col min="8" max="8" width="11.42578125" customWidth="1"/>
    <col min="9" max="9" width="15.28515625" customWidth="1"/>
    <col min="10" max="10" width="13.28515625" customWidth="1"/>
    <col min="11" max="11" width="15.28515625" bestFit="1" customWidth="1"/>
    <col min="12" max="12" width="9.42578125" customWidth="1"/>
    <col min="13" max="13" width="9.42578125" bestFit="1" customWidth="1"/>
    <col min="14" max="14" width="11.7109375" customWidth="1"/>
    <col min="15" max="15" width="9.140625" bestFit="1" customWidth="1"/>
    <col min="16" max="17" width="8.28515625" bestFit="1" customWidth="1"/>
    <col min="18" max="18" width="10.85546875" customWidth="1"/>
    <col min="19" max="19" width="15.42578125" customWidth="1"/>
    <col min="20" max="20" width="12.85546875" customWidth="1"/>
    <col min="21" max="21" width="15.28515625" bestFit="1" customWidth="1"/>
    <col min="22" max="22" width="9.5703125" customWidth="1"/>
  </cols>
  <sheetData>
    <row r="1" spans="2:22" ht="15.75" thickBot="1" x14ac:dyDescent="0.3"/>
    <row r="2" spans="2:22" ht="18.75" x14ac:dyDescent="0.3">
      <c r="B2" s="41"/>
      <c r="C2" s="42" t="s">
        <v>85</v>
      </c>
      <c r="D2" s="43"/>
      <c r="E2" s="43"/>
      <c r="F2" s="43"/>
      <c r="G2" s="43"/>
      <c r="H2" s="43"/>
      <c r="I2" s="43"/>
      <c r="J2" s="43"/>
      <c r="K2" s="43"/>
      <c r="L2" s="43"/>
      <c r="M2" s="42" t="s">
        <v>94</v>
      </c>
      <c r="N2" s="43"/>
      <c r="O2" s="43"/>
      <c r="P2" s="43"/>
      <c r="Q2" s="43"/>
      <c r="R2" s="43"/>
      <c r="S2" s="43"/>
      <c r="T2" s="43"/>
      <c r="U2" s="43"/>
      <c r="V2" s="44"/>
    </row>
    <row r="3" spans="2:22" s="37" customFormat="1" ht="45" x14ac:dyDescent="0.25">
      <c r="B3" s="45"/>
      <c r="C3" s="38" t="str">
        <f>VLOOKUP(tblData[[#Headers],[Kol1]],DataKol,2,FALSE)</f>
        <v>Verkoop</v>
      </c>
      <c r="D3" s="36" t="str">
        <f>VLOOKUP(tblData[[#Headers],[Kol2]],DataKol,2,FALSE)</f>
        <v>Kosten</v>
      </c>
      <c r="E3" s="36" t="str">
        <f>VLOOKUP(tblData[[#Headers],[Kol3]],DataKol,2,FALSE)</f>
        <v>Cashflow</v>
      </c>
      <c r="F3" s="36" t="str">
        <f>VLOOKUP(tblData[[#Headers],[Kol4]],DataKol,2,FALSE)</f>
        <v>Winst %</v>
      </c>
      <c r="G3" s="36" t="str">
        <f>VLOOKUP(tblData[[#Headers],[Kol5]],DataKol,2,FALSE)</f>
        <v>Klanten</v>
      </c>
      <c r="H3" s="36" t="str">
        <f>VLOOKUP(tblData[[#Headers],[Kol6]],DataKol,2,FALSE)</f>
        <v>% Nieuwe klanten</v>
      </c>
      <c r="I3" s="36" t="str">
        <f>VLOOKUP(tblData[[#Headers],[Kol7]],DataKol,2,FALSE)</f>
        <v>% Terugkerende klanten</v>
      </c>
      <c r="J3" s="36" t="str">
        <f>VLOOKUP(tblData[[#Headers],[Kol8]],DataKol,2,FALSE)</f>
        <v>Gem verkoop per klant</v>
      </c>
      <c r="K3" s="36" t="str">
        <f>VLOOKUP(tblData[[#Headers],[Kol9]],DataKol,2,FALSE)</f>
        <v>Productiviteit %</v>
      </c>
      <c r="L3" s="36" t="str">
        <f>VLOOKUP(tblData[[#Headers],[Kol10]],DataKol,2,FALSE)</f>
        <v>Gem tijd per call</v>
      </c>
      <c r="M3" s="38" t="str">
        <f>C3</f>
        <v>Verkoop</v>
      </c>
      <c r="N3" s="36" t="str">
        <f t="shared" ref="N3:V3" si="0">D3</f>
        <v>Kosten</v>
      </c>
      <c r="O3" s="36" t="str">
        <f t="shared" si="0"/>
        <v>Cashflow</v>
      </c>
      <c r="P3" s="36" t="str">
        <f t="shared" si="0"/>
        <v>Winst %</v>
      </c>
      <c r="Q3" s="36" t="str">
        <f t="shared" si="0"/>
        <v>Klanten</v>
      </c>
      <c r="R3" s="36" t="str">
        <f t="shared" si="0"/>
        <v>% Nieuwe klanten</v>
      </c>
      <c r="S3" s="36" t="str">
        <f t="shared" si="0"/>
        <v>% Terugkerende klanten</v>
      </c>
      <c r="T3" s="36" t="str">
        <f t="shared" si="0"/>
        <v>Gem verkoop per klant</v>
      </c>
      <c r="U3" s="36" t="str">
        <f t="shared" si="0"/>
        <v>Productiviteit %</v>
      </c>
      <c r="V3" s="46" t="str">
        <f t="shared" si="0"/>
        <v>Gem tijd per call</v>
      </c>
    </row>
    <row r="4" spans="2:22" x14ac:dyDescent="0.25">
      <c r="B4" s="34" t="s">
        <v>10</v>
      </c>
      <c r="C4" s="39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9</v>
      </c>
      <c r="M4" s="39" t="s">
        <v>95</v>
      </c>
      <c r="N4" s="1" t="s">
        <v>96</v>
      </c>
      <c r="O4" s="1" t="s">
        <v>97</v>
      </c>
      <c r="P4" s="1" t="s">
        <v>98</v>
      </c>
      <c r="Q4" s="1" t="s">
        <v>99</v>
      </c>
      <c r="R4" s="1" t="s">
        <v>100</v>
      </c>
      <c r="S4" s="1" t="s">
        <v>101</v>
      </c>
      <c r="T4" s="1" t="s">
        <v>102</v>
      </c>
      <c r="U4" s="1" t="s">
        <v>103</v>
      </c>
      <c r="V4" s="17" t="s">
        <v>104</v>
      </c>
    </row>
    <row r="5" spans="2:22" x14ac:dyDescent="0.25">
      <c r="B5" s="47">
        <v>43831</v>
      </c>
      <c r="C5" s="39">
        <v>397093</v>
      </c>
      <c r="D5" s="1">
        <v>251709</v>
      </c>
      <c r="E5" s="1">
        <v>75312</v>
      </c>
      <c r="F5" s="1">
        <v>0.36612078278891846</v>
      </c>
      <c r="G5" s="1">
        <v>699</v>
      </c>
      <c r="H5" s="1">
        <v>0.44</v>
      </c>
      <c r="I5" s="1">
        <v>0.56000000000000005</v>
      </c>
      <c r="J5" s="1">
        <f>tblData[[#This Row],[Kol1]]/tblData[[#This Row],[Kol5]]</f>
        <v>568.08726752503571</v>
      </c>
      <c r="K5" s="1">
        <v>0.96099999999999997</v>
      </c>
      <c r="L5" s="1">
        <v>209</v>
      </c>
      <c r="M5" s="39">
        <v>127070</v>
      </c>
      <c r="N5" s="1">
        <v>100684</v>
      </c>
      <c r="O5" s="1">
        <v>32384</v>
      </c>
      <c r="P5" s="1">
        <v>0.28999999999999998</v>
      </c>
      <c r="Q5" s="1">
        <v>552</v>
      </c>
      <c r="R5" s="1">
        <v>0.25</v>
      </c>
      <c r="S5" s="1">
        <v>0.35</v>
      </c>
      <c r="T5" s="1">
        <v>170</v>
      </c>
      <c r="U5" s="1">
        <v>0.32</v>
      </c>
      <c r="V5" s="17">
        <v>253</v>
      </c>
    </row>
    <row r="6" spans="2:22" x14ac:dyDescent="0.25">
      <c r="B6" s="47">
        <v>43862</v>
      </c>
      <c r="C6" s="39">
        <v>363300</v>
      </c>
      <c r="D6" s="1">
        <v>256345</v>
      </c>
      <c r="E6" s="1">
        <v>221444</v>
      </c>
      <c r="F6" s="1">
        <v>0.29439856867602532</v>
      </c>
      <c r="G6" s="1">
        <v>424</v>
      </c>
      <c r="H6" s="1">
        <v>0.48</v>
      </c>
      <c r="I6" s="1">
        <v>0.52</v>
      </c>
      <c r="J6" s="1">
        <f>tblData[[#This Row],[Kol1]]/tblData[[#This Row],[Kol5]]</f>
        <v>856.83962264150944</v>
      </c>
      <c r="K6" s="1">
        <v>0.79100000000000004</v>
      </c>
      <c r="L6" s="1">
        <v>169</v>
      </c>
      <c r="M6" s="39">
        <v>363300</v>
      </c>
      <c r="N6" s="1">
        <v>281980</v>
      </c>
      <c r="O6" s="1">
        <v>115151</v>
      </c>
      <c r="P6" s="1">
        <v>0.39</v>
      </c>
      <c r="Q6" s="1">
        <v>580</v>
      </c>
      <c r="R6" s="1">
        <v>0.25</v>
      </c>
      <c r="S6" s="1">
        <v>0.69</v>
      </c>
      <c r="T6" s="1">
        <v>925</v>
      </c>
      <c r="U6" s="1">
        <v>0.28000000000000003</v>
      </c>
      <c r="V6" s="17">
        <v>181</v>
      </c>
    </row>
    <row r="7" spans="2:22" x14ac:dyDescent="0.25">
      <c r="B7" s="47">
        <v>43891</v>
      </c>
      <c r="C7" s="39">
        <v>331423</v>
      </c>
      <c r="D7" s="1">
        <v>200743</v>
      </c>
      <c r="E7" s="1">
        <v>115043</v>
      </c>
      <c r="F7" s="1">
        <v>0.3942997317627322</v>
      </c>
      <c r="G7" s="1">
        <v>536</v>
      </c>
      <c r="H7" s="1">
        <v>0.4</v>
      </c>
      <c r="I7" s="1">
        <v>0.6</v>
      </c>
      <c r="J7" s="1">
        <f>tblData[[#This Row],[Kol1]]/tblData[[#This Row],[Kol5]]</f>
        <v>618.32649253731347</v>
      </c>
      <c r="K7" s="1">
        <v>0.86899999999999999</v>
      </c>
      <c r="L7" s="1">
        <v>200</v>
      </c>
      <c r="M7" s="39">
        <v>228682</v>
      </c>
      <c r="N7" s="1">
        <v>230854</v>
      </c>
      <c r="O7" s="1">
        <v>124246</v>
      </c>
      <c r="P7" s="1">
        <v>0.5</v>
      </c>
      <c r="Q7" s="1">
        <v>187</v>
      </c>
      <c r="R7" s="1">
        <v>0.23</v>
      </c>
      <c r="S7" s="1">
        <v>0.83</v>
      </c>
      <c r="T7" s="1">
        <v>761</v>
      </c>
      <c r="U7" s="1">
        <v>0.43</v>
      </c>
      <c r="V7" s="17">
        <v>108</v>
      </c>
    </row>
    <row r="8" spans="2:22" x14ac:dyDescent="0.25">
      <c r="B8" s="47">
        <v>43922</v>
      </c>
      <c r="C8" s="39">
        <v>374605</v>
      </c>
      <c r="D8" s="1">
        <v>183569</v>
      </c>
      <c r="E8" s="1">
        <v>79506</v>
      </c>
      <c r="F8" s="1">
        <v>0.50996649804460703</v>
      </c>
      <c r="G8" s="1">
        <v>670</v>
      </c>
      <c r="H8" s="1">
        <v>0.46</v>
      </c>
      <c r="I8" s="1">
        <v>0.54</v>
      </c>
      <c r="J8" s="1">
        <f>tblData[[#This Row],[Kol1]]/tblData[[#This Row],[Kol5]]</f>
        <v>559.11194029850742</v>
      </c>
      <c r="K8" s="1">
        <v>0.83200000000000007</v>
      </c>
      <c r="L8" s="1">
        <v>246</v>
      </c>
      <c r="M8" s="39">
        <v>438288</v>
      </c>
      <c r="N8" s="1">
        <v>84442</v>
      </c>
      <c r="O8" s="1">
        <v>92227</v>
      </c>
      <c r="P8" s="1">
        <v>0.38</v>
      </c>
      <c r="Q8" s="1">
        <v>810</v>
      </c>
      <c r="R8" s="1">
        <v>0.2</v>
      </c>
      <c r="S8" s="1">
        <v>0.74</v>
      </c>
      <c r="T8" s="1">
        <v>268</v>
      </c>
      <c r="U8" s="1">
        <v>0.66</v>
      </c>
      <c r="V8" s="17">
        <v>116</v>
      </c>
    </row>
    <row r="9" spans="2:22" x14ac:dyDescent="0.25">
      <c r="B9" s="47">
        <v>43952</v>
      </c>
      <c r="C9" s="39">
        <v>397117</v>
      </c>
      <c r="D9" s="1">
        <v>307293</v>
      </c>
      <c r="E9" s="1">
        <v>155589</v>
      </c>
      <c r="F9" s="1">
        <v>0.22619026634467929</v>
      </c>
      <c r="G9" s="1">
        <v>422</v>
      </c>
      <c r="H9" s="1">
        <v>0.62</v>
      </c>
      <c r="I9" s="1">
        <v>0.38</v>
      </c>
      <c r="J9" s="1">
        <f>tblData[[#This Row],[Kol1]]/tblData[[#This Row],[Kol5]]</f>
        <v>941.03554502369673</v>
      </c>
      <c r="K9" s="1">
        <v>0.91799999999999993</v>
      </c>
      <c r="L9" s="1">
        <v>196</v>
      </c>
      <c r="M9" s="39">
        <v>460656</v>
      </c>
      <c r="N9" s="1">
        <v>227397</v>
      </c>
      <c r="O9" s="1">
        <v>119804</v>
      </c>
      <c r="P9" s="1">
        <v>0.14000000000000001</v>
      </c>
      <c r="Q9" s="1">
        <v>523</v>
      </c>
      <c r="R9" s="1">
        <v>0.31</v>
      </c>
      <c r="S9" s="1">
        <v>0.46</v>
      </c>
      <c r="T9" s="1">
        <v>414</v>
      </c>
      <c r="U9" s="1">
        <v>0.51</v>
      </c>
      <c r="V9" s="17">
        <v>139</v>
      </c>
    </row>
    <row r="10" spans="2:22" x14ac:dyDescent="0.25">
      <c r="B10" s="47">
        <v>43983</v>
      </c>
      <c r="C10" s="39">
        <v>396940</v>
      </c>
      <c r="D10" s="1">
        <v>271809</v>
      </c>
      <c r="E10" s="1">
        <v>185711</v>
      </c>
      <c r="F10" s="1">
        <v>0.31523907895399811</v>
      </c>
      <c r="G10" s="1">
        <v>642</v>
      </c>
      <c r="H10" s="1">
        <v>0.59</v>
      </c>
      <c r="I10" s="1">
        <v>0.41000000000000003</v>
      </c>
      <c r="J10" s="1">
        <f>tblData[[#This Row],[Kol1]]/tblData[[#This Row],[Kol5]]</f>
        <v>618.28660436137068</v>
      </c>
      <c r="K10" s="1">
        <v>0.82300000000000006</v>
      </c>
      <c r="L10" s="1">
        <v>238</v>
      </c>
      <c r="M10" s="39">
        <v>527930</v>
      </c>
      <c r="N10" s="1">
        <v>366942</v>
      </c>
      <c r="O10" s="1">
        <v>139283</v>
      </c>
      <c r="P10" s="1">
        <v>0.1</v>
      </c>
      <c r="Q10" s="1">
        <v>263</v>
      </c>
      <c r="R10" s="1">
        <v>0.51</v>
      </c>
      <c r="S10" s="1">
        <v>0.38</v>
      </c>
      <c r="T10" s="1">
        <v>723</v>
      </c>
      <c r="U10" s="1">
        <v>0.62</v>
      </c>
      <c r="V10" s="17">
        <v>309</v>
      </c>
    </row>
    <row r="11" spans="2:22" x14ac:dyDescent="0.25">
      <c r="B11" s="47">
        <v>44013</v>
      </c>
      <c r="C11" s="39">
        <v>338993</v>
      </c>
      <c r="D11" s="1">
        <v>192140</v>
      </c>
      <c r="E11" s="1">
        <v>202150</v>
      </c>
      <c r="F11" s="1">
        <v>0.43320363547329888</v>
      </c>
      <c r="G11" s="1">
        <v>643</v>
      </c>
      <c r="H11" s="1">
        <v>0.53</v>
      </c>
      <c r="I11" s="1">
        <v>0.47</v>
      </c>
      <c r="J11" s="1">
        <f>tblData[[#This Row],[Kol1]]/tblData[[#This Row],[Kol5]]</f>
        <v>527.20528771384136</v>
      </c>
      <c r="K11" s="1">
        <v>0.77300000000000002</v>
      </c>
      <c r="L11" s="1">
        <v>268</v>
      </c>
      <c r="M11" s="39">
        <v>393232</v>
      </c>
      <c r="N11" s="1">
        <v>90306</v>
      </c>
      <c r="O11" s="1">
        <v>181935</v>
      </c>
      <c r="P11" s="1">
        <v>0.54</v>
      </c>
      <c r="Q11" s="1">
        <v>688</v>
      </c>
      <c r="R11" s="1">
        <v>0.33</v>
      </c>
      <c r="S11" s="1">
        <v>0.35</v>
      </c>
      <c r="T11" s="1">
        <v>543</v>
      </c>
      <c r="U11" s="1">
        <v>0.76</v>
      </c>
      <c r="V11" s="17">
        <v>217</v>
      </c>
    </row>
    <row r="12" spans="2:22" x14ac:dyDescent="0.25">
      <c r="B12" s="47">
        <v>44044</v>
      </c>
      <c r="C12" s="39">
        <v>391110</v>
      </c>
      <c r="D12" s="1">
        <v>314281</v>
      </c>
      <c r="E12" s="1">
        <v>196177</v>
      </c>
      <c r="F12" s="1">
        <v>0.19643834215438111</v>
      </c>
      <c r="G12" s="1">
        <v>504</v>
      </c>
      <c r="H12" s="1">
        <v>0.61</v>
      </c>
      <c r="I12" s="1">
        <v>0.39</v>
      </c>
      <c r="J12" s="1">
        <f>tblData[[#This Row],[Kol1]]/tblData[[#This Row],[Kol5]]</f>
        <v>776.01190476190482</v>
      </c>
      <c r="K12" s="1">
        <v>0.83299999999999996</v>
      </c>
      <c r="L12" s="1">
        <v>167</v>
      </c>
      <c r="M12" s="39">
        <v>387199</v>
      </c>
      <c r="N12" s="1">
        <v>329995</v>
      </c>
      <c r="O12" s="1">
        <v>260915</v>
      </c>
      <c r="P12" s="1">
        <v>0.19</v>
      </c>
      <c r="Q12" s="1">
        <v>564</v>
      </c>
      <c r="R12" s="1">
        <v>0.46</v>
      </c>
      <c r="S12" s="1">
        <v>0.13</v>
      </c>
      <c r="T12" s="1">
        <v>590</v>
      </c>
      <c r="U12" s="1">
        <v>0.4</v>
      </c>
      <c r="V12" s="17">
        <v>179</v>
      </c>
    </row>
    <row r="13" spans="2:22" x14ac:dyDescent="0.25">
      <c r="B13" s="47">
        <v>44075</v>
      </c>
      <c r="C13" s="39">
        <v>290111</v>
      </c>
      <c r="D13" s="1">
        <v>195530</v>
      </c>
      <c r="E13" s="1">
        <v>130444</v>
      </c>
      <c r="F13" s="1">
        <v>0.32601659364863794</v>
      </c>
      <c r="G13" s="1">
        <v>458</v>
      </c>
      <c r="H13" s="1">
        <v>0.62</v>
      </c>
      <c r="I13" s="1">
        <v>0.38</v>
      </c>
      <c r="J13" s="1">
        <f>tblData[[#This Row],[Kol1]]/tblData[[#This Row],[Kol5]]</f>
        <v>633.43013100436679</v>
      </c>
      <c r="K13" s="1">
        <v>0.83900000000000008</v>
      </c>
      <c r="L13" s="1">
        <v>233</v>
      </c>
      <c r="M13" s="39">
        <v>171165</v>
      </c>
      <c r="N13" s="1">
        <v>62570</v>
      </c>
      <c r="O13" s="1">
        <v>48264</v>
      </c>
      <c r="P13" s="1">
        <v>0.39</v>
      </c>
      <c r="Q13" s="1">
        <v>151</v>
      </c>
      <c r="R13" s="1">
        <v>0.24</v>
      </c>
      <c r="S13" s="1">
        <v>0.24</v>
      </c>
      <c r="T13" s="1">
        <v>234</v>
      </c>
      <c r="U13" s="1">
        <v>0.63</v>
      </c>
      <c r="V13" s="17">
        <v>75</v>
      </c>
    </row>
    <row r="14" spans="2:22" x14ac:dyDescent="0.25">
      <c r="B14" s="47">
        <v>44105</v>
      </c>
      <c r="C14" s="39">
        <v>285141</v>
      </c>
      <c r="D14" s="1">
        <v>194534</v>
      </c>
      <c r="E14" s="1">
        <v>128119</v>
      </c>
      <c r="F14" s="1">
        <v>0.3177620896328483</v>
      </c>
      <c r="G14" s="1">
        <v>574</v>
      </c>
      <c r="H14" s="1">
        <v>0.43</v>
      </c>
      <c r="I14" s="1">
        <v>0.57000000000000006</v>
      </c>
      <c r="J14" s="1">
        <f>tblData[[#This Row],[Kol1]]/tblData[[#This Row],[Kol5]]</f>
        <v>496.76132404181186</v>
      </c>
      <c r="K14" s="1">
        <v>0.96</v>
      </c>
      <c r="L14" s="1">
        <v>85</v>
      </c>
      <c r="M14" s="39">
        <v>199599</v>
      </c>
      <c r="N14" s="1">
        <v>87540</v>
      </c>
      <c r="O14" s="1">
        <v>44842</v>
      </c>
      <c r="P14" s="1">
        <v>0.38</v>
      </c>
      <c r="Q14" s="1">
        <v>183</v>
      </c>
      <c r="R14" s="1">
        <v>0.25</v>
      </c>
      <c r="S14" s="1">
        <v>0.28999999999999998</v>
      </c>
      <c r="T14" s="1">
        <v>492</v>
      </c>
      <c r="U14" s="1">
        <v>0.53</v>
      </c>
      <c r="V14" s="17">
        <v>100</v>
      </c>
    </row>
    <row r="15" spans="2:22" x14ac:dyDescent="0.25">
      <c r="B15" s="47">
        <v>44136</v>
      </c>
      <c r="C15" s="39">
        <v>340848</v>
      </c>
      <c r="D15" s="1">
        <v>211397</v>
      </c>
      <c r="E15" s="1">
        <v>169424</v>
      </c>
      <c r="F15" s="1">
        <v>0.37979099187907805</v>
      </c>
      <c r="G15" s="1">
        <v>509</v>
      </c>
      <c r="H15" s="1">
        <v>0.59</v>
      </c>
      <c r="I15" s="1">
        <v>0.41000000000000003</v>
      </c>
      <c r="J15" s="1">
        <f>tblData[[#This Row],[Kol1]]/tblData[[#This Row],[Kol5]]</f>
        <v>669.6424361493124</v>
      </c>
      <c r="K15" s="1">
        <v>0.94900000000000007</v>
      </c>
      <c r="L15" s="1">
        <v>50</v>
      </c>
      <c r="M15" s="39">
        <v>190875</v>
      </c>
      <c r="N15" s="1">
        <v>240993</v>
      </c>
      <c r="O15" s="1">
        <v>120291</v>
      </c>
      <c r="P15" s="1">
        <v>0.28000000000000003</v>
      </c>
      <c r="Q15" s="1">
        <v>157</v>
      </c>
      <c r="R15" s="1">
        <v>0.37</v>
      </c>
      <c r="S15" s="1">
        <v>0.46</v>
      </c>
      <c r="T15" s="1">
        <v>328</v>
      </c>
      <c r="U15" s="1">
        <v>1.22</v>
      </c>
      <c r="V15" s="17">
        <v>47</v>
      </c>
    </row>
    <row r="16" spans="2:22" x14ac:dyDescent="0.25">
      <c r="B16" s="47">
        <v>44166</v>
      </c>
      <c r="C16" s="39">
        <v>336035</v>
      </c>
      <c r="D16" s="1">
        <v>246707</v>
      </c>
      <c r="E16" s="1">
        <v>218511</v>
      </c>
      <c r="F16" s="1">
        <v>0.26582945228919608</v>
      </c>
      <c r="G16" s="1">
        <v>692</v>
      </c>
      <c r="H16" s="1">
        <v>0.42</v>
      </c>
      <c r="I16" s="1">
        <v>0.58000000000000007</v>
      </c>
      <c r="J16" s="1">
        <f>tblData[[#This Row],[Kol1]]/tblData[[#This Row],[Kol5]]</f>
        <v>485.59971098265896</v>
      </c>
      <c r="K16" s="1">
        <v>0.81600000000000006</v>
      </c>
      <c r="L16" s="1">
        <v>48</v>
      </c>
      <c r="M16" s="39">
        <v>252026</v>
      </c>
      <c r="N16" s="1">
        <v>226970</v>
      </c>
      <c r="O16" s="1">
        <v>262213</v>
      </c>
      <c r="P16" s="1">
        <v>0.24</v>
      </c>
      <c r="Q16" s="1">
        <v>435</v>
      </c>
      <c r="R16" s="1">
        <v>0.34</v>
      </c>
      <c r="S16" s="1">
        <v>0.33</v>
      </c>
      <c r="T16" s="1">
        <v>466</v>
      </c>
      <c r="U16" s="1">
        <v>0.76</v>
      </c>
      <c r="V16" s="17">
        <v>50</v>
      </c>
    </row>
    <row r="17" spans="2:22" x14ac:dyDescent="0.25">
      <c r="B17" s="47">
        <v>44197</v>
      </c>
      <c r="C17" s="39">
        <v>335783</v>
      </c>
      <c r="D17" s="1">
        <v>182106</v>
      </c>
      <c r="E17" s="1">
        <v>145437</v>
      </c>
      <c r="F17" s="1">
        <v>0.45766760080170826</v>
      </c>
      <c r="G17" s="1">
        <v>550</v>
      </c>
      <c r="H17" s="1">
        <v>0.65</v>
      </c>
      <c r="I17" s="1">
        <v>0.35</v>
      </c>
      <c r="J17" s="1">
        <f>tblData[[#This Row],[Kol1]]/tblData[[#This Row],[Kol5]]</f>
        <v>610.51454545454544</v>
      </c>
      <c r="K17" s="1">
        <v>0.81799999999999995</v>
      </c>
      <c r="L17" s="1">
        <v>66</v>
      </c>
      <c r="M17" s="39">
        <v>315636</v>
      </c>
      <c r="N17" s="1">
        <v>107443</v>
      </c>
      <c r="O17" s="1">
        <v>165798</v>
      </c>
      <c r="P17" s="1">
        <v>0.27</v>
      </c>
      <c r="Q17" s="1">
        <v>506</v>
      </c>
      <c r="R17" s="1">
        <v>0.44</v>
      </c>
      <c r="S17" s="1">
        <v>0.23</v>
      </c>
      <c r="T17" s="1">
        <v>391</v>
      </c>
      <c r="U17" s="1">
        <v>0.82</v>
      </c>
      <c r="V17" s="17">
        <v>32</v>
      </c>
    </row>
    <row r="18" spans="2:22" x14ac:dyDescent="0.25">
      <c r="B18" s="47">
        <v>44228</v>
      </c>
      <c r="C18" s="39">
        <v>294536</v>
      </c>
      <c r="D18" s="1">
        <v>256791</v>
      </c>
      <c r="E18" s="1">
        <v>153449</v>
      </c>
      <c r="F18" s="1">
        <v>0.12815071841812206</v>
      </c>
      <c r="G18" s="1">
        <v>647</v>
      </c>
      <c r="H18" s="1">
        <v>0.64</v>
      </c>
      <c r="I18" s="1">
        <v>0.36</v>
      </c>
      <c r="J18" s="1">
        <f>tblData[[#This Row],[Kol1]]/tblData[[#This Row],[Kol5]]</f>
        <v>455.23338485316845</v>
      </c>
      <c r="K18" s="1">
        <v>0.99700000000000011</v>
      </c>
      <c r="L18" s="1">
        <v>53</v>
      </c>
      <c r="M18" s="39">
        <v>385842</v>
      </c>
      <c r="N18" s="1">
        <v>277334</v>
      </c>
      <c r="O18" s="1">
        <v>153449</v>
      </c>
      <c r="P18" s="1">
        <v>0.04</v>
      </c>
      <c r="Q18" s="1">
        <v>847</v>
      </c>
      <c r="R18" s="1">
        <v>0.84</v>
      </c>
      <c r="S18" s="1">
        <v>0.39</v>
      </c>
      <c r="T18" s="1">
        <v>141</v>
      </c>
      <c r="U18" s="1">
        <v>1.33</v>
      </c>
      <c r="V18" s="17">
        <v>66</v>
      </c>
    </row>
    <row r="19" spans="2:22" x14ac:dyDescent="0.25">
      <c r="B19" s="47">
        <v>44256</v>
      </c>
      <c r="C19" s="39">
        <v>317841</v>
      </c>
      <c r="D19" s="1">
        <v>272886</v>
      </c>
      <c r="E19" s="1">
        <v>192190</v>
      </c>
      <c r="F19" s="1">
        <v>0.141438643850227</v>
      </c>
      <c r="G19" s="1">
        <v>419</v>
      </c>
      <c r="H19" s="1">
        <v>0.57000000000000006</v>
      </c>
      <c r="I19" s="1">
        <v>0.42999999999999994</v>
      </c>
      <c r="J19" s="1">
        <f>tblData[[#This Row],[Kol1]]/tblData[[#This Row],[Kol5]]</f>
        <v>758.57040572792357</v>
      </c>
      <c r="K19" s="1">
        <v>0.95799999999999996</v>
      </c>
      <c r="L19" s="1">
        <v>245</v>
      </c>
      <c r="M19" s="39">
        <v>410015</v>
      </c>
      <c r="N19" s="1">
        <v>109154</v>
      </c>
      <c r="O19" s="1">
        <v>78798</v>
      </c>
      <c r="P19" s="1">
        <v>0.08</v>
      </c>
      <c r="Q19" s="1">
        <v>125</v>
      </c>
      <c r="R19" s="1">
        <v>0.35</v>
      </c>
      <c r="S19" s="1">
        <v>0.17</v>
      </c>
      <c r="T19" s="1">
        <v>834</v>
      </c>
      <c r="U19" s="1">
        <v>1.25</v>
      </c>
      <c r="V19" s="17">
        <v>149</v>
      </c>
    </row>
    <row r="20" spans="2:22" x14ac:dyDescent="0.25">
      <c r="B20" s="47">
        <v>44287</v>
      </c>
      <c r="C20" s="39">
        <v>325791</v>
      </c>
      <c r="D20" s="1">
        <v>197606</v>
      </c>
      <c r="E20" s="1">
        <v>170744</v>
      </c>
      <c r="F20" s="1">
        <v>0.39345776893775458</v>
      </c>
      <c r="G20" s="1">
        <v>532</v>
      </c>
      <c r="H20" s="1">
        <v>0.62</v>
      </c>
      <c r="I20" s="1">
        <v>0.38</v>
      </c>
      <c r="J20" s="1">
        <f>tblData[[#This Row],[Kol1]]/tblData[[#This Row],[Kol5]]</f>
        <v>612.38909774436092</v>
      </c>
      <c r="K20" s="1">
        <v>0.81500000000000006</v>
      </c>
      <c r="L20" s="1">
        <v>38</v>
      </c>
      <c r="M20" s="39">
        <v>172669</v>
      </c>
      <c r="N20" s="1">
        <v>59282</v>
      </c>
      <c r="O20" s="1">
        <v>233919</v>
      </c>
      <c r="P20" s="1">
        <v>0.28999999999999998</v>
      </c>
      <c r="Q20" s="1">
        <v>425</v>
      </c>
      <c r="R20" s="1">
        <v>0.61</v>
      </c>
      <c r="S20" s="1">
        <v>0.4</v>
      </c>
      <c r="T20" s="1">
        <v>496</v>
      </c>
      <c r="U20" s="1">
        <v>1.1299999999999999</v>
      </c>
      <c r="V20" s="17">
        <v>49</v>
      </c>
    </row>
    <row r="21" spans="2:22" x14ac:dyDescent="0.25">
      <c r="B21" s="47">
        <v>44317</v>
      </c>
      <c r="C21" s="39">
        <v>393957</v>
      </c>
      <c r="D21" s="1">
        <v>227631</v>
      </c>
      <c r="E21" s="1">
        <v>114549</v>
      </c>
      <c r="F21" s="1">
        <v>0.42219328505395259</v>
      </c>
      <c r="G21" s="1">
        <v>603</v>
      </c>
      <c r="H21" s="1">
        <v>0.51</v>
      </c>
      <c r="I21" s="1">
        <v>0.49</v>
      </c>
      <c r="J21" s="1">
        <f>tblData[[#This Row],[Kol1]]/tblData[[#This Row],[Kol5]]</f>
        <v>653.32835820895525</v>
      </c>
      <c r="K21" s="1">
        <v>0.79100000000000004</v>
      </c>
      <c r="L21" s="1">
        <v>266</v>
      </c>
      <c r="M21" s="39">
        <v>315166</v>
      </c>
      <c r="N21" s="1">
        <v>311854</v>
      </c>
      <c r="O21" s="1">
        <v>66438</v>
      </c>
      <c r="P21" s="1">
        <v>0.23</v>
      </c>
      <c r="Q21" s="1">
        <v>235</v>
      </c>
      <c r="R21" s="1">
        <v>0.64</v>
      </c>
      <c r="S21" s="1">
        <v>0.67</v>
      </c>
      <c r="T21" s="1">
        <v>810</v>
      </c>
      <c r="U21" s="1">
        <v>0.74</v>
      </c>
      <c r="V21" s="17">
        <v>197</v>
      </c>
    </row>
    <row r="22" spans="2:22" x14ac:dyDescent="0.25">
      <c r="B22" s="47">
        <v>44348</v>
      </c>
      <c r="C22" s="39">
        <v>311417</v>
      </c>
      <c r="D22" s="1">
        <v>270761</v>
      </c>
      <c r="E22" s="1">
        <v>196572</v>
      </c>
      <c r="F22" s="1">
        <v>0.13055163976276182</v>
      </c>
      <c r="G22" s="1">
        <v>578</v>
      </c>
      <c r="H22" s="1">
        <v>0.56000000000000005</v>
      </c>
      <c r="I22" s="1">
        <v>0.43999999999999995</v>
      </c>
      <c r="J22" s="1">
        <f>tblData[[#This Row],[Kol1]]/tblData[[#This Row],[Kol5]]</f>
        <v>538.78373702422141</v>
      </c>
      <c r="K22" s="1">
        <v>0.97100000000000009</v>
      </c>
      <c r="L22" s="1">
        <v>193</v>
      </c>
      <c r="M22" s="39">
        <v>224220</v>
      </c>
      <c r="N22" s="1">
        <v>86644</v>
      </c>
      <c r="O22" s="1">
        <v>261441</v>
      </c>
      <c r="P22" s="1">
        <v>0.17</v>
      </c>
      <c r="Q22" s="1">
        <v>543</v>
      </c>
      <c r="R22" s="1">
        <v>0.24</v>
      </c>
      <c r="S22" s="1">
        <v>0.54</v>
      </c>
      <c r="T22" s="1">
        <v>242</v>
      </c>
      <c r="U22" s="1">
        <v>1.32</v>
      </c>
      <c r="V22" s="17">
        <v>239</v>
      </c>
    </row>
    <row r="23" spans="2:22" x14ac:dyDescent="0.25">
      <c r="B23" s="47">
        <v>44378</v>
      </c>
      <c r="C23" s="39">
        <v>367916</v>
      </c>
      <c r="D23" s="1">
        <v>295902</v>
      </c>
      <c r="E23" s="1">
        <v>76217</v>
      </c>
      <c r="F23" s="1">
        <v>0.19573489600887159</v>
      </c>
      <c r="G23" s="1">
        <v>514</v>
      </c>
      <c r="H23" s="1">
        <v>0.64</v>
      </c>
      <c r="I23" s="1">
        <v>0.36</v>
      </c>
      <c r="J23" s="1">
        <f>tblData[[#This Row],[Kol1]]/tblData[[#This Row],[Kol5]]</f>
        <v>715.78988326848253</v>
      </c>
      <c r="K23" s="1">
        <v>0.86799999999999999</v>
      </c>
      <c r="L23" s="1">
        <v>127</v>
      </c>
      <c r="M23" s="39">
        <v>423103</v>
      </c>
      <c r="N23" s="1">
        <v>319574</v>
      </c>
      <c r="O23" s="1">
        <v>74693</v>
      </c>
      <c r="P23" s="1">
        <v>7.0000000000000007E-2</v>
      </c>
      <c r="Q23" s="1">
        <v>560</v>
      </c>
      <c r="R23" s="1">
        <v>0.65</v>
      </c>
      <c r="S23" s="1">
        <v>0.2</v>
      </c>
      <c r="T23" s="1">
        <v>387</v>
      </c>
      <c r="U23" s="1">
        <v>1.1100000000000001</v>
      </c>
      <c r="V23" s="17">
        <v>161</v>
      </c>
    </row>
    <row r="24" spans="2:22" x14ac:dyDescent="0.25">
      <c r="B24" s="47">
        <v>44409</v>
      </c>
      <c r="C24" s="39">
        <v>312379</v>
      </c>
      <c r="D24" s="1">
        <v>194330</v>
      </c>
      <c r="E24" s="1">
        <v>86283</v>
      </c>
      <c r="F24" s="1">
        <v>0.37790312408964749</v>
      </c>
      <c r="G24" s="1">
        <v>406</v>
      </c>
      <c r="H24" s="1">
        <v>0.62</v>
      </c>
      <c r="I24" s="1">
        <v>0.38</v>
      </c>
      <c r="J24" s="1">
        <f>tblData[[#This Row],[Kol1]]/tblData[[#This Row],[Kol5]]</f>
        <v>769.40640394088666</v>
      </c>
      <c r="K24" s="1">
        <v>0.75700000000000001</v>
      </c>
      <c r="L24" s="1">
        <v>70</v>
      </c>
      <c r="M24" s="39">
        <v>228037</v>
      </c>
      <c r="N24" s="1">
        <v>229309</v>
      </c>
      <c r="O24" s="1">
        <v>40553</v>
      </c>
      <c r="P24" s="1">
        <v>0.5</v>
      </c>
      <c r="Q24" s="1">
        <v>373</v>
      </c>
      <c r="R24" s="1">
        <v>0.47</v>
      </c>
      <c r="S24" s="1">
        <v>0.35</v>
      </c>
      <c r="T24" s="1">
        <v>662</v>
      </c>
      <c r="U24" s="1">
        <v>0.57999999999999996</v>
      </c>
      <c r="V24" s="17">
        <v>80</v>
      </c>
    </row>
    <row r="25" spans="2:22" x14ac:dyDescent="0.25">
      <c r="B25" s="47">
        <v>44440</v>
      </c>
      <c r="C25" s="39">
        <v>301661</v>
      </c>
      <c r="D25" s="1">
        <v>251441</v>
      </c>
      <c r="E25" s="1">
        <v>168902</v>
      </c>
      <c r="F25" s="1">
        <v>0.16647826533758092</v>
      </c>
      <c r="G25" s="1">
        <v>646</v>
      </c>
      <c r="H25" s="1">
        <v>0.6</v>
      </c>
      <c r="I25" s="1">
        <v>0.4</v>
      </c>
      <c r="J25" s="1">
        <f>tblData[[#This Row],[Kol1]]/tblData[[#This Row],[Kol5]]</f>
        <v>466.96749226006193</v>
      </c>
      <c r="K25" s="1">
        <v>0.753</v>
      </c>
      <c r="L25" s="1">
        <v>219</v>
      </c>
      <c r="M25" s="39">
        <v>470000</v>
      </c>
      <c r="N25" s="1">
        <v>130749</v>
      </c>
      <c r="O25" s="1">
        <v>62494</v>
      </c>
      <c r="P25" s="1">
        <v>0.22</v>
      </c>
      <c r="Q25" s="1">
        <v>290</v>
      </c>
      <c r="R25" s="1">
        <v>0.23</v>
      </c>
      <c r="S25" s="1">
        <v>0.16</v>
      </c>
      <c r="T25" s="1">
        <v>402</v>
      </c>
      <c r="U25" s="1">
        <v>1.02</v>
      </c>
      <c r="V25" s="17">
        <v>107</v>
      </c>
    </row>
    <row r="26" spans="2:22" x14ac:dyDescent="0.25">
      <c r="B26" s="47">
        <v>44470</v>
      </c>
      <c r="C26" s="39">
        <v>311417</v>
      </c>
      <c r="D26" s="1">
        <v>270761</v>
      </c>
      <c r="E26" s="1">
        <v>196572</v>
      </c>
      <c r="F26" s="1">
        <v>0.13055163976276182</v>
      </c>
      <c r="G26" s="1">
        <v>578</v>
      </c>
      <c r="H26" s="1">
        <v>0.56000000000000005</v>
      </c>
      <c r="I26" s="1">
        <v>0.43999999999999995</v>
      </c>
      <c r="J26" s="1">
        <f>tblData[[#This Row],[Kol1]]/tblData[[#This Row],[Kol5]]</f>
        <v>538.78373702422141</v>
      </c>
      <c r="K26" s="1">
        <v>0.97100000000000009</v>
      </c>
      <c r="L26" s="40">
        <v>193</v>
      </c>
      <c r="M26" s="39">
        <v>224220</v>
      </c>
      <c r="N26" s="1">
        <v>86644</v>
      </c>
      <c r="O26" s="1">
        <v>261441</v>
      </c>
      <c r="P26" s="1">
        <v>0.17</v>
      </c>
      <c r="Q26" s="1">
        <v>543</v>
      </c>
      <c r="R26" s="1">
        <v>0.24</v>
      </c>
      <c r="S26" s="1">
        <v>0.54</v>
      </c>
      <c r="T26" s="1">
        <v>242</v>
      </c>
      <c r="U26" s="1">
        <v>1.32</v>
      </c>
      <c r="V26" s="17">
        <v>239</v>
      </c>
    </row>
    <row r="27" spans="2:22" x14ac:dyDescent="0.25">
      <c r="B27" s="47">
        <v>44501</v>
      </c>
      <c r="C27" s="39">
        <v>308983</v>
      </c>
      <c r="D27" s="1">
        <v>244842</v>
      </c>
      <c r="E27" s="1">
        <v>159274</v>
      </c>
      <c r="F27" s="1">
        <v>0.20837265368302482</v>
      </c>
      <c r="G27" s="1">
        <v>544</v>
      </c>
      <c r="H27" s="1">
        <v>0.62</v>
      </c>
      <c r="I27" s="1">
        <v>0.37</v>
      </c>
      <c r="J27" s="1">
        <v>567.98345588235293</v>
      </c>
      <c r="K27" s="1">
        <v>0.86599999999999999</v>
      </c>
      <c r="L27" s="1">
        <v>126</v>
      </c>
      <c r="M27" s="39">
        <v>301405</v>
      </c>
      <c r="N27" s="1">
        <v>165758</v>
      </c>
      <c r="O27" s="1">
        <v>155728</v>
      </c>
      <c r="P27" s="1">
        <v>0.17</v>
      </c>
      <c r="Q27" s="1">
        <v>388</v>
      </c>
      <c r="R27" s="1">
        <v>0.48</v>
      </c>
      <c r="S27" s="1">
        <v>0.28999999999999998</v>
      </c>
      <c r="T27" s="1">
        <v>419</v>
      </c>
      <c r="U27" s="1">
        <v>1.25</v>
      </c>
      <c r="V27" s="17">
        <v>118</v>
      </c>
    </row>
    <row r="28" spans="2:22" x14ac:dyDescent="0.25">
      <c r="B28" s="47">
        <v>44531</v>
      </c>
      <c r="C28" s="39">
        <v>308865</v>
      </c>
      <c r="D28" s="1">
        <v>247367</v>
      </c>
      <c r="E28" s="1">
        <v>158168</v>
      </c>
      <c r="F28" s="1">
        <v>0.20065020075520401</v>
      </c>
      <c r="G28" s="1">
        <v>543</v>
      </c>
      <c r="H28" s="1">
        <v>0.62</v>
      </c>
      <c r="I28" s="1">
        <v>0.37</v>
      </c>
      <c r="J28" s="1">
        <v>568.81215469613255</v>
      </c>
      <c r="K28" s="1">
        <v>0.86599999999999999</v>
      </c>
      <c r="L28" s="1">
        <v>122</v>
      </c>
      <c r="M28" s="39">
        <v>300323</v>
      </c>
      <c r="N28" s="1">
        <v>164195</v>
      </c>
      <c r="O28" s="1">
        <v>157616</v>
      </c>
      <c r="P28" s="1">
        <v>0.16</v>
      </c>
      <c r="Q28" s="1">
        <v>384</v>
      </c>
      <c r="R28" s="1">
        <v>0.49</v>
      </c>
      <c r="S28" s="1">
        <v>0.28000000000000003</v>
      </c>
      <c r="T28" s="1">
        <v>414</v>
      </c>
      <c r="U28" s="1">
        <v>1.29</v>
      </c>
      <c r="V28" s="17">
        <v>116</v>
      </c>
    </row>
    <row r="29" spans="2:22" x14ac:dyDescent="0.25">
      <c r="B29" s="47">
        <v>44562</v>
      </c>
      <c r="C29" s="39">
        <v>306270</v>
      </c>
      <c r="D29" s="1">
        <v>250941</v>
      </c>
      <c r="E29" s="1">
        <v>157199</v>
      </c>
      <c r="F29" s="1">
        <v>0.19267033272978829</v>
      </c>
      <c r="G29" s="1">
        <v>542</v>
      </c>
      <c r="H29" s="1">
        <v>0.63</v>
      </c>
      <c r="I29" s="1">
        <v>0.36</v>
      </c>
      <c r="J29" s="1">
        <v>565.07380073800744</v>
      </c>
      <c r="K29" s="1">
        <v>0.86599999999999999</v>
      </c>
      <c r="L29" s="1">
        <v>119</v>
      </c>
      <c r="M29" s="39">
        <v>299206</v>
      </c>
      <c r="N29" s="1">
        <v>162579</v>
      </c>
      <c r="O29" s="1">
        <v>159567</v>
      </c>
      <c r="P29" s="1">
        <v>0.16</v>
      </c>
      <c r="Q29" s="1">
        <v>380</v>
      </c>
      <c r="R29" s="1">
        <v>0.5</v>
      </c>
      <c r="S29" s="1">
        <v>0.27</v>
      </c>
      <c r="T29" s="1">
        <v>409</v>
      </c>
      <c r="U29" s="1">
        <v>1.33</v>
      </c>
      <c r="V29" s="17">
        <v>114</v>
      </c>
    </row>
    <row r="30" spans="2:22" x14ac:dyDescent="0.25">
      <c r="B30" s="47">
        <v>44593</v>
      </c>
      <c r="C30" s="39">
        <v>300573</v>
      </c>
      <c r="D30" s="1">
        <v>249496</v>
      </c>
      <c r="E30" s="1">
        <v>159661</v>
      </c>
      <c r="F30" s="1">
        <v>0.18469046470437434</v>
      </c>
      <c r="G30" s="1">
        <v>541</v>
      </c>
      <c r="H30" s="1">
        <v>0.64</v>
      </c>
      <c r="I30" s="1">
        <v>0.35</v>
      </c>
      <c r="J30" s="1">
        <v>555.58780036968574</v>
      </c>
      <c r="K30" s="1">
        <v>0.86599999999999999</v>
      </c>
      <c r="L30" s="1">
        <v>116</v>
      </c>
      <c r="M30" s="39">
        <v>298088</v>
      </c>
      <c r="N30" s="1">
        <v>160963</v>
      </c>
      <c r="O30" s="1">
        <v>161519</v>
      </c>
      <c r="P30" s="1">
        <v>0.15</v>
      </c>
      <c r="Q30" s="1">
        <v>376</v>
      </c>
      <c r="R30" s="1">
        <v>0.51</v>
      </c>
      <c r="S30" s="1">
        <v>0.26</v>
      </c>
      <c r="T30" s="1">
        <v>404</v>
      </c>
      <c r="U30" s="1">
        <v>1.37</v>
      </c>
      <c r="V30" s="17">
        <v>112</v>
      </c>
    </row>
    <row r="31" spans="2:22" x14ac:dyDescent="0.25">
      <c r="B31" s="47">
        <v>44621</v>
      </c>
      <c r="C31" s="39">
        <v>298960</v>
      </c>
      <c r="D31" s="1">
        <v>245312</v>
      </c>
      <c r="E31" s="1">
        <v>159461</v>
      </c>
      <c r="F31" s="1">
        <v>0.1774828419717398</v>
      </c>
      <c r="G31" s="1">
        <v>540</v>
      </c>
      <c r="H31" s="1">
        <v>0.64</v>
      </c>
      <c r="I31" s="1">
        <v>0.35</v>
      </c>
      <c r="J31" s="1">
        <v>553.62962962962968</v>
      </c>
      <c r="K31" s="1">
        <v>0.86599999999999999</v>
      </c>
      <c r="L31" s="1">
        <v>113</v>
      </c>
      <c r="M31" s="39">
        <v>297079</v>
      </c>
      <c r="N31" s="1">
        <v>159504</v>
      </c>
      <c r="O31" s="1">
        <v>163281</v>
      </c>
      <c r="P31" s="1">
        <v>0.14000000000000001</v>
      </c>
      <c r="Q31" s="1">
        <v>372</v>
      </c>
      <c r="R31" s="1">
        <v>0.52</v>
      </c>
      <c r="S31" s="1">
        <v>0.25</v>
      </c>
      <c r="T31" s="1">
        <v>399</v>
      </c>
      <c r="U31" s="1">
        <v>1.41</v>
      </c>
      <c r="V31" s="17">
        <v>110</v>
      </c>
    </row>
    <row r="32" spans="2:22" x14ac:dyDescent="0.25">
      <c r="B32" s="47">
        <v>44652</v>
      </c>
      <c r="C32" s="39">
        <v>300034</v>
      </c>
      <c r="D32" s="1">
        <v>252413</v>
      </c>
      <c r="E32" s="1">
        <v>159295</v>
      </c>
      <c r="F32" s="1">
        <v>0.16950297394632585</v>
      </c>
      <c r="G32" s="1">
        <v>539</v>
      </c>
      <c r="H32" s="1">
        <v>0.65</v>
      </c>
      <c r="I32" s="1">
        <v>0.34</v>
      </c>
      <c r="J32" s="1">
        <v>556.64935064935059</v>
      </c>
      <c r="K32" s="1">
        <v>0.86599999999999999</v>
      </c>
      <c r="L32" s="1">
        <v>110</v>
      </c>
      <c r="M32" s="39">
        <v>295961</v>
      </c>
      <c r="N32" s="1">
        <v>157888</v>
      </c>
      <c r="O32" s="1">
        <v>165233</v>
      </c>
      <c r="P32" s="1">
        <v>0.13</v>
      </c>
      <c r="Q32" s="1">
        <v>368</v>
      </c>
      <c r="R32" s="1">
        <v>0.53</v>
      </c>
      <c r="S32" s="1">
        <v>0.24</v>
      </c>
      <c r="T32" s="1">
        <v>394</v>
      </c>
      <c r="U32" s="1">
        <v>1.45</v>
      </c>
      <c r="V32" s="17">
        <v>108</v>
      </c>
    </row>
    <row r="33" spans="2:22" x14ac:dyDescent="0.25">
      <c r="B33" s="47">
        <v>44682</v>
      </c>
      <c r="C33" s="39">
        <v>302646</v>
      </c>
      <c r="D33" s="1">
        <v>257894</v>
      </c>
      <c r="E33" s="1">
        <v>160076</v>
      </c>
      <c r="F33" s="1">
        <v>0.16178052101850326</v>
      </c>
      <c r="G33" s="1">
        <v>538</v>
      </c>
      <c r="H33" s="1">
        <v>0.65</v>
      </c>
      <c r="I33" s="1">
        <v>0.34</v>
      </c>
      <c r="J33" s="1">
        <v>562.53903345724905</v>
      </c>
      <c r="K33" s="1">
        <v>0.86599999999999999</v>
      </c>
      <c r="L33" s="1">
        <v>107</v>
      </c>
      <c r="M33" s="39">
        <v>294880</v>
      </c>
      <c r="N33" s="1">
        <v>156324</v>
      </c>
      <c r="O33" s="1">
        <v>167121</v>
      </c>
      <c r="P33" s="1">
        <v>0.13</v>
      </c>
      <c r="Q33" s="1">
        <v>364</v>
      </c>
      <c r="R33" s="1">
        <v>0.54</v>
      </c>
      <c r="S33" s="1">
        <v>0.23</v>
      </c>
      <c r="T33" s="1">
        <v>389</v>
      </c>
      <c r="U33" s="1">
        <v>1.49</v>
      </c>
      <c r="V33" s="17">
        <v>106</v>
      </c>
    </row>
    <row r="34" spans="2:22" x14ac:dyDescent="0.25">
      <c r="B34" s="47">
        <v>44713</v>
      </c>
      <c r="C34" s="39">
        <v>300916</v>
      </c>
      <c r="D34" s="1">
        <v>256401</v>
      </c>
      <c r="E34" s="1">
        <v>159006</v>
      </c>
      <c r="F34" s="1">
        <v>0.15380065299308932</v>
      </c>
      <c r="G34" s="1">
        <v>537</v>
      </c>
      <c r="H34" s="1">
        <v>0.66</v>
      </c>
      <c r="I34" s="1">
        <v>0.33</v>
      </c>
      <c r="J34" s="1">
        <v>560.36499068901298</v>
      </c>
      <c r="K34" s="1">
        <v>0.86499999999999999</v>
      </c>
      <c r="L34" s="1">
        <v>103</v>
      </c>
      <c r="M34" s="39">
        <v>293762</v>
      </c>
      <c r="N34" s="1">
        <v>154708</v>
      </c>
      <c r="O34" s="1">
        <v>169072</v>
      </c>
      <c r="P34" s="1">
        <v>0.12</v>
      </c>
      <c r="Q34" s="1">
        <v>360</v>
      </c>
      <c r="R34" s="1">
        <v>0.55000000000000004</v>
      </c>
      <c r="S34" s="1">
        <v>0.22</v>
      </c>
      <c r="T34" s="1">
        <v>383</v>
      </c>
      <c r="U34" s="1">
        <v>1.53</v>
      </c>
      <c r="V34" s="17">
        <v>104</v>
      </c>
    </row>
    <row r="35" spans="2:22" x14ac:dyDescent="0.25">
      <c r="B35" s="47">
        <v>44743</v>
      </c>
      <c r="C35" s="39">
        <v>304823</v>
      </c>
      <c r="D35" s="1">
        <v>266424</v>
      </c>
      <c r="E35" s="1">
        <v>159289</v>
      </c>
      <c r="F35" s="1">
        <v>0.1460782000652685</v>
      </c>
      <c r="G35" s="1">
        <v>536</v>
      </c>
      <c r="H35" s="1">
        <v>0.67</v>
      </c>
      <c r="I35" s="1">
        <v>0.32</v>
      </c>
      <c r="J35" s="1">
        <v>568.69962686567169</v>
      </c>
      <c r="K35" s="1">
        <v>0.86499999999999999</v>
      </c>
      <c r="L35" s="1">
        <v>100</v>
      </c>
      <c r="M35" s="39">
        <v>292681</v>
      </c>
      <c r="N35" s="1">
        <v>153145</v>
      </c>
      <c r="O35" s="1">
        <v>170961</v>
      </c>
      <c r="P35" s="1">
        <v>0.11</v>
      </c>
      <c r="Q35" s="1">
        <v>356</v>
      </c>
      <c r="R35" s="1">
        <v>0.56000000000000005</v>
      </c>
      <c r="S35" s="1">
        <v>0.21</v>
      </c>
      <c r="T35" s="1">
        <v>378</v>
      </c>
      <c r="U35" s="1">
        <v>1.56</v>
      </c>
      <c r="V35" s="17">
        <v>102</v>
      </c>
    </row>
    <row r="36" spans="2:22" x14ac:dyDescent="0.25">
      <c r="B36" s="47">
        <v>44774</v>
      </c>
      <c r="C36" s="39">
        <v>300078</v>
      </c>
      <c r="D36" s="1">
        <v>266750</v>
      </c>
      <c r="E36" s="1">
        <v>163579</v>
      </c>
      <c r="F36" s="1">
        <v>0.13809833203985278</v>
      </c>
      <c r="G36" s="1">
        <v>535</v>
      </c>
      <c r="H36" s="1">
        <v>0.67</v>
      </c>
      <c r="I36" s="1">
        <v>0.32</v>
      </c>
      <c r="J36" s="1">
        <v>560.89345794392523</v>
      </c>
      <c r="K36" s="1">
        <v>0.86499999999999999</v>
      </c>
      <c r="L36" s="1">
        <v>97</v>
      </c>
      <c r="M36" s="39">
        <v>291563</v>
      </c>
      <c r="N36" s="1">
        <v>151529</v>
      </c>
      <c r="O36" s="1">
        <v>172912</v>
      </c>
      <c r="P36" s="1">
        <v>0.1</v>
      </c>
      <c r="Q36" s="1">
        <v>352</v>
      </c>
      <c r="R36" s="1">
        <v>0.56000000000000005</v>
      </c>
      <c r="S36" s="1">
        <v>0.2</v>
      </c>
      <c r="T36" s="1">
        <v>373</v>
      </c>
      <c r="U36" s="1">
        <v>1.6</v>
      </c>
      <c r="V36" s="17">
        <v>100</v>
      </c>
    </row>
    <row r="37" spans="2:22" x14ac:dyDescent="0.25">
      <c r="B37" s="47">
        <v>44805</v>
      </c>
      <c r="C37" s="39">
        <v>293735</v>
      </c>
      <c r="D37" s="1">
        <v>266088</v>
      </c>
      <c r="E37" s="1">
        <v>170569</v>
      </c>
      <c r="F37" s="1">
        <v>0.13011846401443705</v>
      </c>
      <c r="G37" s="1">
        <v>534</v>
      </c>
      <c r="H37" s="1">
        <v>0.68</v>
      </c>
      <c r="I37" s="1">
        <v>0.31</v>
      </c>
      <c r="J37" s="1">
        <v>550.06554307116107</v>
      </c>
      <c r="K37" s="1">
        <v>0.86499999999999999</v>
      </c>
      <c r="L37" s="1">
        <v>94</v>
      </c>
      <c r="M37" s="39">
        <v>290445</v>
      </c>
      <c r="N37" s="1">
        <v>149913</v>
      </c>
      <c r="O37" s="1">
        <v>174863</v>
      </c>
      <c r="P37" s="1">
        <v>0.09</v>
      </c>
      <c r="Q37" s="1">
        <v>348</v>
      </c>
      <c r="R37" s="1">
        <v>0.56999999999999995</v>
      </c>
      <c r="S37" s="1">
        <v>0.19</v>
      </c>
      <c r="T37" s="1">
        <v>368</v>
      </c>
      <c r="U37" s="1">
        <v>1.64</v>
      </c>
      <c r="V37" s="17">
        <v>98</v>
      </c>
    </row>
    <row r="38" spans="2:22" x14ac:dyDescent="0.25">
      <c r="B38" s="47">
        <v>44835</v>
      </c>
      <c r="C38" s="39">
        <v>291921</v>
      </c>
      <c r="D38" s="1">
        <v>266061</v>
      </c>
      <c r="E38" s="1">
        <v>171550</v>
      </c>
      <c r="F38" s="1">
        <v>0.12239601108661624</v>
      </c>
      <c r="G38" s="1">
        <v>533</v>
      </c>
      <c r="H38" s="1">
        <v>0.68</v>
      </c>
      <c r="I38" s="1">
        <v>0.31</v>
      </c>
      <c r="J38" s="1">
        <v>547.69418386491554</v>
      </c>
      <c r="K38" s="1">
        <v>0.86499999999999999</v>
      </c>
      <c r="L38" s="1">
        <v>91</v>
      </c>
      <c r="M38" s="39">
        <v>289364</v>
      </c>
      <c r="N38" s="1">
        <v>148349</v>
      </c>
      <c r="O38" s="1">
        <v>176752</v>
      </c>
      <c r="P38" s="1">
        <v>0.09</v>
      </c>
      <c r="Q38" s="1">
        <v>345</v>
      </c>
      <c r="R38" s="1">
        <v>0.57999999999999996</v>
      </c>
      <c r="S38" s="1">
        <v>0.18</v>
      </c>
      <c r="T38" s="1">
        <v>363</v>
      </c>
      <c r="U38" s="1">
        <v>1.68</v>
      </c>
      <c r="V38" s="17">
        <v>97</v>
      </c>
    </row>
    <row r="39" spans="2:22" x14ac:dyDescent="0.25">
      <c r="B39" s="47">
        <v>44866</v>
      </c>
      <c r="C39" s="39">
        <v>289814</v>
      </c>
      <c r="D39" s="1">
        <v>269048</v>
      </c>
      <c r="E39" s="1">
        <v>172506</v>
      </c>
      <c r="F39" s="1">
        <v>0.11441614306120051</v>
      </c>
      <c r="G39" s="1">
        <v>532</v>
      </c>
      <c r="H39" s="1">
        <v>0.69</v>
      </c>
      <c r="I39" s="1">
        <v>0.3</v>
      </c>
      <c r="J39" s="1">
        <v>544.76315789473688</v>
      </c>
      <c r="K39" s="1">
        <v>0.86499999999999999</v>
      </c>
      <c r="L39" s="1">
        <v>87</v>
      </c>
      <c r="M39" s="39">
        <v>288246</v>
      </c>
      <c r="N39" s="1">
        <v>146734</v>
      </c>
      <c r="O39" s="1">
        <v>178703</v>
      </c>
      <c r="P39" s="1">
        <v>0.08</v>
      </c>
      <c r="Q39" s="1">
        <v>340</v>
      </c>
      <c r="R39" s="1">
        <v>0.59</v>
      </c>
      <c r="S39" s="1">
        <v>0.17</v>
      </c>
      <c r="T39" s="1">
        <v>358</v>
      </c>
      <c r="U39" s="1">
        <v>1.72</v>
      </c>
      <c r="V39" s="17">
        <v>95</v>
      </c>
    </row>
    <row r="40" spans="2:22" ht="15.75" thickBot="1" x14ac:dyDescent="0.3">
      <c r="B40" s="48">
        <v>44896</v>
      </c>
      <c r="C40" s="49">
        <v>287948</v>
      </c>
      <c r="D40" s="50">
        <v>265567</v>
      </c>
      <c r="E40" s="50">
        <v>173800</v>
      </c>
      <c r="F40" s="50">
        <v>0.1066936901333797</v>
      </c>
      <c r="G40" s="50">
        <v>531</v>
      </c>
      <c r="H40" s="50">
        <v>0.7</v>
      </c>
      <c r="I40" s="50">
        <v>0.28999999999999998</v>
      </c>
      <c r="J40" s="50">
        <v>542.27495291902073</v>
      </c>
      <c r="K40" s="50">
        <v>0.86499999999999999</v>
      </c>
      <c r="L40" s="50">
        <v>84</v>
      </c>
      <c r="M40" s="49">
        <v>287165</v>
      </c>
      <c r="N40" s="50">
        <v>145170</v>
      </c>
      <c r="O40" s="50">
        <v>180592</v>
      </c>
      <c r="P40" s="50">
        <v>7.0000000000000007E-2</v>
      </c>
      <c r="Q40" s="50">
        <v>337</v>
      </c>
      <c r="R40" s="50">
        <v>0.6</v>
      </c>
      <c r="S40" s="50">
        <v>0.16</v>
      </c>
      <c r="T40" s="50">
        <v>353</v>
      </c>
      <c r="U40" s="50">
        <v>1.76</v>
      </c>
      <c r="V40" s="18">
        <v>93</v>
      </c>
    </row>
    <row r="41" spans="2:22" x14ac:dyDescent="0.25">
      <c r="B41" s="2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BBDF-4DF6-4D6D-A263-D22A1A58EC5D}">
  <dimension ref="B2:W116"/>
  <sheetViews>
    <sheetView showGridLines="0" workbookViewId="0"/>
  </sheetViews>
  <sheetFormatPr defaultRowHeight="15" x14ac:dyDescent="0.25"/>
  <cols>
    <col min="1" max="1" width="3.28515625" customWidth="1"/>
    <col min="2" max="2" width="11.28515625" bestFit="1" customWidth="1"/>
    <col min="3" max="3" width="20.7109375" bestFit="1" customWidth="1"/>
    <col min="4" max="4" width="14.28515625" bestFit="1" customWidth="1"/>
    <col min="5" max="5" width="12.42578125" bestFit="1" customWidth="1"/>
    <col min="6" max="6" width="14.28515625" bestFit="1" customWidth="1"/>
    <col min="7" max="7" width="12.7109375" bestFit="1" customWidth="1"/>
    <col min="8" max="8" width="12" bestFit="1" customWidth="1"/>
    <col min="9" max="9" width="19.7109375" bestFit="1" customWidth="1"/>
    <col min="10" max="10" width="25.28515625" bestFit="1" customWidth="1"/>
    <col min="11" max="11" width="24" bestFit="1" customWidth="1"/>
    <col min="12" max="12" width="17.5703125" bestFit="1" customWidth="1"/>
    <col min="13" max="13" width="18" bestFit="1" customWidth="1"/>
    <col min="14" max="14" width="8.5703125" bestFit="1" customWidth="1"/>
    <col min="15" max="15" width="8.28515625" bestFit="1" customWidth="1"/>
    <col min="16" max="16" width="9.140625" bestFit="1" customWidth="1"/>
    <col min="17" max="18" width="8.28515625" bestFit="1" customWidth="1"/>
    <col min="19" max="19" width="17.42578125" bestFit="1" customWidth="1"/>
    <col min="20" max="20" width="23" bestFit="1" customWidth="1"/>
    <col min="21" max="21" width="21.7109375" bestFit="1" customWidth="1"/>
    <col min="22" max="22" width="15.28515625" bestFit="1" customWidth="1"/>
    <col min="23" max="23" width="15.7109375" bestFit="1" customWidth="1"/>
  </cols>
  <sheetData>
    <row r="2" spans="2:23" x14ac:dyDescent="0.25">
      <c r="D2" s="35" t="str">
        <f t="array" ref="D2:M2">TRANSPOSE(tblDataInd[Naam])</f>
        <v>Verkoop</v>
      </c>
      <c r="E2" s="35" t="str">
        <v>Kosten</v>
      </c>
      <c r="F2" s="35" t="str">
        <v>Cashflow</v>
      </c>
      <c r="G2" s="35" t="str">
        <v>Winst %</v>
      </c>
      <c r="H2" s="35" t="str">
        <v>Klanten</v>
      </c>
      <c r="I2" s="35" t="str">
        <v>% Nieuwe klanten</v>
      </c>
      <c r="J2" s="35" t="str">
        <v>% Terugkerende klanten</v>
      </c>
      <c r="K2" s="35" t="str">
        <v>Gem verkoop per klant</v>
      </c>
      <c r="L2" s="35" t="str">
        <v>Productiviteit %</v>
      </c>
      <c r="M2" s="35" t="str">
        <v>Gem tijd per call</v>
      </c>
      <c r="N2" s="35" t="str">
        <f t="array" ref="N2:W2">TRANSPOSE(tblDataInd[Naam])</f>
        <v>Verkoop</v>
      </c>
      <c r="O2" s="35" t="str">
        <v>Kosten</v>
      </c>
      <c r="P2" s="35" t="str">
        <v>Cashflow</v>
      </c>
      <c r="Q2" s="35" t="str">
        <v>Winst %</v>
      </c>
      <c r="R2" s="35" t="str">
        <v>Klanten</v>
      </c>
      <c r="S2" s="35" t="str">
        <v>% Nieuwe klanten</v>
      </c>
      <c r="T2" s="35" t="str">
        <v>% Terugkerende klanten</v>
      </c>
      <c r="U2" s="35" t="str">
        <v>Gem verkoop per klant</v>
      </c>
      <c r="V2" s="35" t="str">
        <v>Productiviteit %</v>
      </c>
      <c r="W2" s="35" t="str">
        <v>Gem tijd per call</v>
      </c>
    </row>
    <row r="3" spans="2:23" x14ac:dyDescent="0.25">
      <c r="B3" t="s">
        <v>87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9</v>
      </c>
      <c r="N3" t="s">
        <v>95</v>
      </c>
      <c r="O3" t="s">
        <v>96</v>
      </c>
      <c r="P3" t="s">
        <v>97</v>
      </c>
      <c r="Q3" t="s">
        <v>98</v>
      </c>
      <c r="R3" t="s">
        <v>99</v>
      </c>
      <c r="S3" t="s">
        <v>100</v>
      </c>
      <c r="T3" t="s">
        <v>101</v>
      </c>
      <c r="U3" t="s">
        <v>102</v>
      </c>
      <c r="V3" t="s">
        <v>103</v>
      </c>
      <c r="W3" t="s">
        <v>104</v>
      </c>
    </row>
    <row r="4" spans="2:23" x14ac:dyDescent="0.25">
      <c r="B4">
        <v>0</v>
      </c>
      <c r="C4" s="51">
        <f>EDATE(DtmRef,tblYoY[[#This Row],[YoY]]-12)</f>
        <v>44409</v>
      </c>
      <c r="D4" s="55">
        <f>INDEX(tblData[],MATCH(tblYoY[[#This Row],[Maand]],tblData[Maand],0),MATCH(D$3,tblData[#Headers],0))</f>
        <v>312379</v>
      </c>
      <c r="E4" s="55">
        <f>INDEX(tblData[],MATCH(tblYoY[[#This Row],[Maand]],tblData[Maand],0),MATCH(E$3,tblData[#Headers],0))</f>
        <v>194330</v>
      </c>
      <c r="F4" s="55">
        <f>INDEX(tblData[],MATCH(tblYoY[[#This Row],[Maand]],tblData[Maand],0),MATCH(F$3,tblData[#Headers],0))</f>
        <v>86283</v>
      </c>
      <c r="G4" s="55">
        <f>INDEX(tblData[],MATCH(tblYoY[[#This Row],[Maand]],tblData[Maand],0),MATCH(G$3,tblData[#Headers],0))</f>
        <v>0.37790312408964749</v>
      </c>
      <c r="H4" s="55">
        <f>INDEX(tblData[],MATCH(tblYoY[[#This Row],[Maand]],tblData[Maand],0),MATCH(H$3,tblData[#Headers],0))</f>
        <v>406</v>
      </c>
      <c r="I4" s="55">
        <f>INDEX(tblData[],MATCH(tblYoY[[#This Row],[Maand]],tblData[Maand],0),MATCH(I$3,tblData[#Headers],0))</f>
        <v>0.62</v>
      </c>
      <c r="J4" s="55">
        <f>INDEX(tblData[],MATCH(tblYoY[[#This Row],[Maand]],tblData[Maand],0),MATCH(J$3,tblData[#Headers],0))</f>
        <v>0.38</v>
      </c>
      <c r="K4" s="55">
        <f>INDEX(tblData[],MATCH(tblYoY[[#This Row],[Maand]],tblData[Maand],0),MATCH(K$3,tblData[#Headers],0))</f>
        <v>769.40640394088666</v>
      </c>
      <c r="L4" s="55">
        <f>INDEX(tblData[],MATCH(tblYoY[[#This Row],[Maand]],tblData[Maand],0),MATCH(L$3,tblData[#Headers],0))</f>
        <v>0.75700000000000001</v>
      </c>
      <c r="M4" s="55">
        <f>INDEX(tblData[],MATCH(tblYoY[[#This Row],[Maand]],tblData[Maand],0),MATCH(M$3,tblData[#Headers],0))</f>
        <v>70</v>
      </c>
      <c r="N4" s="55">
        <f>INDEX(tblData[],MATCH(tblYoY[[#This Row],[Maand]],tblData[Maand],0),MATCH(N$3,tblData[#Headers],0))</f>
        <v>228037</v>
      </c>
      <c r="O4" s="55">
        <f>INDEX(tblData[],MATCH(tblYoY[[#This Row],[Maand]],tblData[Maand],0),MATCH(O$3,tblData[#Headers],0))</f>
        <v>229309</v>
      </c>
      <c r="P4" s="55">
        <f>INDEX(tblData[],MATCH(tblYoY[[#This Row],[Maand]],tblData[Maand],0),MATCH(P$3,tblData[#Headers],0))</f>
        <v>40553</v>
      </c>
      <c r="Q4" s="55">
        <f>INDEX(tblData[],MATCH(tblYoY[[#This Row],[Maand]],tblData[Maand],0),MATCH(Q$3,tblData[#Headers],0))</f>
        <v>0.5</v>
      </c>
      <c r="R4" s="55">
        <f>INDEX(tblData[],MATCH(tblYoY[[#This Row],[Maand]],tblData[Maand],0),MATCH(R$3,tblData[#Headers],0))</f>
        <v>373</v>
      </c>
      <c r="S4" s="55">
        <f>INDEX(tblData[],MATCH(tblYoY[[#This Row],[Maand]],tblData[Maand],0),MATCH(S$3,tblData[#Headers],0))</f>
        <v>0.47</v>
      </c>
      <c r="T4" s="55">
        <f>INDEX(tblData[],MATCH(tblYoY[[#This Row],[Maand]],tblData[Maand],0),MATCH(T$3,tblData[#Headers],0))</f>
        <v>0.35</v>
      </c>
      <c r="U4" s="55">
        <f>INDEX(tblData[],MATCH(tblYoY[[#This Row],[Maand]],tblData[Maand],0),MATCH(U$3,tblData[#Headers],0))</f>
        <v>662</v>
      </c>
      <c r="V4" s="55">
        <f>INDEX(tblData[],MATCH(tblYoY[[#This Row],[Maand]],tblData[Maand],0),MATCH(V$3,tblData[#Headers],0))</f>
        <v>0.57999999999999996</v>
      </c>
      <c r="W4" s="55">
        <f>INDEX(tblData[],MATCH(tblYoY[[#This Row],[Maand]],tblData[Maand],0),MATCH(W$3,tblData[#Headers],0))</f>
        <v>80</v>
      </c>
    </row>
    <row r="5" spans="2:23" x14ac:dyDescent="0.25">
      <c r="B5">
        <v>1</v>
      </c>
      <c r="C5" s="51">
        <f>EDATE(DtmRef,tblYoY[[#This Row],[YoY]]-12)</f>
        <v>44440</v>
      </c>
      <c r="D5">
        <f>INDEX(tblData[],MATCH(tblYoY[[#This Row],[Maand]],tblData[Maand],0),MATCH(D$3,tblData[#Headers],0))</f>
        <v>301661</v>
      </c>
      <c r="E5">
        <f>INDEX(tblData[],MATCH(tblYoY[[#This Row],[Maand]],tblData[Maand],0),MATCH(E$3,tblData[#Headers],0))</f>
        <v>251441</v>
      </c>
      <c r="F5">
        <f>INDEX(tblData[],MATCH(tblYoY[[#This Row],[Maand]],tblData[Maand],0),MATCH(F$3,tblData[#Headers],0))</f>
        <v>168902</v>
      </c>
      <c r="G5">
        <f>INDEX(tblData[],MATCH(tblYoY[[#This Row],[Maand]],tblData[Maand],0),MATCH(G$3,tblData[#Headers],0))</f>
        <v>0.16647826533758092</v>
      </c>
      <c r="H5">
        <f>INDEX(tblData[],MATCH(tblYoY[[#This Row],[Maand]],tblData[Maand],0),MATCH(H$3,tblData[#Headers],0))</f>
        <v>646</v>
      </c>
      <c r="I5">
        <f>INDEX(tblData[],MATCH(tblYoY[[#This Row],[Maand]],tblData[Maand],0),MATCH(I$3,tblData[#Headers],0))</f>
        <v>0.6</v>
      </c>
      <c r="J5">
        <f>INDEX(tblData[],MATCH(tblYoY[[#This Row],[Maand]],tblData[Maand],0),MATCH(J$3,tblData[#Headers],0))</f>
        <v>0.4</v>
      </c>
      <c r="K5">
        <f>INDEX(tblData[],MATCH(tblYoY[[#This Row],[Maand]],tblData[Maand],0),MATCH(K$3,tblData[#Headers],0))</f>
        <v>466.96749226006193</v>
      </c>
      <c r="L5">
        <f>INDEX(tblData[],MATCH(tblYoY[[#This Row],[Maand]],tblData[Maand],0),MATCH(L$3,tblData[#Headers],0))</f>
        <v>0.753</v>
      </c>
      <c r="M5">
        <f>INDEX(tblData[],MATCH(tblYoY[[#This Row],[Maand]],tblData[Maand],0),MATCH(M$3,tblData[#Headers],0))</f>
        <v>219</v>
      </c>
      <c r="N5">
        <f>INDEX(tblData[],MATCH(tblYoY[[#This Row],[Maand]],tblData[Maand],0),MATCH(N$3,tblData[#Headers],0))</f>
        <v>470000</v>
      </c>
      <c r="O5">
        <f>INDEX(tblData[],MATCH(tblYoY[[#This Row],[Maand]],tblData[Maand],0),MATCH(O$3,tblData[#Headers],0))</f>
        <v>130749</v>
      </c>
      <c r="P5">
        <f>INDEX(tblData[],MATCH(tblYoY[[#This Row],[Maand]],tblData[Maand],0),MATCH(P$3,tblData[#Headers],0))</f>
        <v>62494</v>
      </c>
      <c r="Q5">
        <f>INDEX(tblData[],MATCH(tblYoY[[#This Row],[Maand]],tblData[Maand],0),MATCH(Q$3,tblData[#Headers],0))</f>
        <v>0.22</v>
      </c>
      <c r="R5">
        <f>INDEX(tblData[],MATCH(tblYoY[[#This Row],[Maand]],tblData[Maand],0),MATCH(R$3,tblData[#Headers],0))</f>
        <v>290</v>
      </c>
      <c r="S5">
        <f>INDEX(tblData[],MATCH(tblYoY[[#This Row],[Maand]],tblData[Maand],0),MATCH(S$3,tblData[#Headers],0))</f>
        <v>0.23</v>
      </c>
      <c r="T5">
        <f>INDEX(tblData[],MATCH(tblYoY[[#This Row],[Maand]],tblData[Maand],0),MATCH(T$3,tblData[#Headers],0))</f>
        <v>0.16</v>
      </c>
      <c r="U5">
        <f>INDEX(tblData[],MATCH(tblYoY[[#This Row],[Maand]],tblData[Maand],0),MATCH(U$3,tblData[#Headers],0))</f>
        <v>402</v>
      </c>
      <c r="V5">
        <f>INDEX(tblData[],MATCH(tblYoY[[#This Row],[Maand]],tblData[Maand],0),MATCH(V$3,tblData[#Headers],0))</f>
        <v>1.02</v>
      </c>
      <c r="W5">
        <f>INDEX(tblData[],MATCH(tblYoY[[#This Row],[Maand]],tblData[Maand],0),MATCH(W$3,tblData[#Headers],0))</f>
        <v>107</v>
      </c>
    </row>
    <row r="6" spans="2:23" x14ac:dyDescent="0.25">
      <c r="B6">
        <v>2</v>
      </c>
      <c r="C6" s="51">
        <f>EDATE(DtmRef,tblYoY[[#This Row],[YoY]]-12)</f>
        <v>44470</v>
      </c>
      <c r="D6">
        <f>INDEX(tblData[],MATCH(tblYoY[[#This Row],[Maand]],tblData[Maand],0),MATCH(D$3,tblData[#Headers],0))</f>
        <v>311417</v>
      </c>
      <c r="E6">
        <f>INDEX(tblData[],MATCH(tblYoY[[#This Row],[Maand]],tblData[Maand],0),MATCH(E$3,tblData[#Headers],0))</f>
        <v>270761</v>
      </c>
      <c r="F6">
        <f>INDEX(tblData[],MATCH(tblYoY[[#This Row],[Maand]],tblData[Maand],0),MATCH(F$3,tblData[#Headers],0))</f>
        <v>196572</v>
      </c>
      <c r="G6">
        <f>INDEX(tblData[],MATCH(tblYoY[[#This Row],[Maand]],tblData[Maand],0),MATCH(G$3,tblData[#Headers],0))</f>
        <v>0.13055163976276182</v>
      </c>
      <c r="H6">
        <f>INDEX(tblData[],MATCH(tblYoY[[#This Row],[Maand]],tblData[Maand],0),MATCH(H$3,tblData[#Headers],0))</f>
        <v>578</v>
      </c>
      <c r="I6">
        <f>INDEX(tblData[],MATCH(tblYoY[[#This Row],[Maand]],tblData[Maand],0),MATCH(I$3,tblData[#Headers],0))</f>
        <v>0.56000000000000005</v>
      </c>
      <c r="J6">
        <f>INDEX(tblData[],MATCH(tblYoY[[#This Row],[Maand]],tblData[Maand],0),MATCH(J$3,tblData[#Headers],0))</f>
        <v>0.43999999999999995</v>
      </c>
      <c r="K6">
        <f>INDEX(tblData[],MATCH(tblYoY[[#This Row],[Maand]],tblData[Maand],0),MATCH(K$3,tblData[#Headers],0))</f>
        <v>538.78373702422141</v>
      </c>
      <c r="L6">
        <f>INDEX(tblData[],MATCH(tblYoY[[#This Row],[Maand]],tblData[Maand],0),MATCH(L$3,tblData[#Headers],0))</f>
        <v>0.97100000000000009</v>
      </c>
      <c r="M6">
        <f>INDEX(tblData[],MATCH(tblYoY[[#This Row],[Maand]],tblData[Maand],0),MATCH(M$3,tblData[#Headers],0))</f>
        <v>193</v>
      </c>
      <c r="N6">
        <f>INDEX(tblData[],MATCH(tblYoY[[#This Row],[Maand]],tblData[Maand],0),MATCH(N$3,tblData[#Headers],0))</f>
        <v>224220</v>
      </c>
      <c r="O6">
        <f>INDEX(tblData[],MATCH(tblYoY[[#This Row],[Maand]],tblData[Maand],0),MATCH(O$3,tblData[#Headers],0))</f>
        <v>86644</v>
      </c>
      <c r="P6">
        <f>INDEX(tblData[],MATCH(tblYoY[[#This Row],[Maand]],tblData[Maand],0),MATCH(P$3,tblData[#Headers],0))</f>
        <v>261441</v>
      </c>
      <c r="Q6">
        <f>INDEX(tblData[],MATCH(tblYoY[[#This Row],[Maand]],tblData[Maand],0),MATCH(Q$3,tblData[#Headers],0))</f>
        <v>0.17</v>
      </c>
      <c r="R6">
        <f>INDEX(tblData[],MATCH(tblYoY[[#This Row],[Maand]],tblData[Maand],0),MATCH(R$3,tblData[#Headers],0))</f>
        <v>543</v>
      </c>
      <c r="S6">
        <f>INDEX(tblData[],MATCH(tblYoY[[#This Row],[Maand]],tblData[Maand],0),MATCH(S$3,tblData[#Headers],0))</f>
        <v>0.24</v>
      </c>
      <c r="T6">
        <f>INDEX(tblData[],MATCH(tblYoY[[#This Row],[Maand]],tblData[Maand],0),MATCH(T$3,tblData[#Headers],0))</f>
        <v>0.54</v>
      </c>
      <c r="U6">
        <f>INDEX(tblData[],MATCH(tblYoY[[#This Row],[Maand]],tblData[Maand],0),MATCH(U$3,tblData[#Headers],0))</f>
        <v>242</v>
      </c>
      <c r="V6">
        <f>INDEX(tblData[],MATCH(tblYoY[[#This Row],[Maand]],tblData[Maand],0),MATCH(V$3,tblData[#Headers],0))</f>
        <v>1.32</v>
      </c>
      <c r="W6">
        <f>INDEX(tblData[],MATCH(tblYoY[[#This Row],[Maand]],tblData[Maand],0),MATCH(W$3,tblData[#Headers],0))</f>
        <v>239</v>
      </c>
    </row>
    <row r="7" spans="2:23" x14ac:dyDescent="0.25">
      <c r="B7">
        <v>3</v>
      </c>
      <c r="C7" s="51">
        <f>EDATE(DtmRef,tblYoY[[#This Row],[YoY]]-12)</f>
        <v>44501</v>
      </c>
      <c r="D7">
        <f>INDEX(tblData[],MATCH(tblYoY[[#This Row],[Maand]],tblData[Maand],0),MATCH(D$3,tblData[#Headers],0))</f>
        <v>308983</v>
      </c>
      <c r="E7">
        <f>INDEX(tblData[],MATCH(tblYoY[[#This Row],[Maand]],tblData[Maand],0),MATCH(E$3,tblData[#Headers],0))</f>
        <v>244842</v>
      </c>
      <c r="F7">
        <f>INDEX(tblData[],MATCH(tblYoY[[#This Row],[Maand]],tblData[Maand],0),MATCH(F$3,tblData[#Headers],0))</f>
        <v>159274</v>
      </c>
      <c r="G7">
        <f>INDEX(tblData[],MATCH(tblYoY[[#This Row],[Maand]],tblData[Maand],0),MATCH(G$3,tblData[#Headers],0))</f>
        <v>0.20837265368302482</v>
      </c>
      <c r="H7">
        <f>INDEX(tblData[],MATCH(tblYoY[[#This Row],[Maand]],tblData[Maand],0),MATCH(H$3,tblData[#Headers],0))</f>
        <v>544</v>
      </c>
      <c r="I7">
        <f>INDEX(tblData[],MATCH(tblYoY[[#This Row],[Maand]],tblData[Maand],0),MATCH(I$3,tblData[#Headers],0))</f>
        <v>0.62</v>
      </c>
      <c r="J7">
        <f>INDEX(tblData[],MATCH(tblYoY[[#This Row],[Maand]],tblData[Maand],0),MATCH(J$3,tblData[#Headers],0))</f>
        <v>0.37</v>
      </c>
      <c r="K7">
        <f>INDEX(tblData[],MATCH(tblYoY[[#This Row],[Maand]],tblData[Maand],0),MATCH(K$3,tblData[#Headers],0))</f>
        <v>567.98345588235293</v>
      </c>
      <c r="L7">
        <f>INDEX(tblData[],MATCH(tblYoY[[#This Row],[Maand]],tblData[Maand],0),MATCH(L$3,tblData[#Headers],0))</f>
        <v>0.86599999999999999</v>
      </c>
      <c r="M7">
        <f>INDEX(tblData[],MATCH(tblYoY[[#This Row],[Maand]],tblData[Maand],0),MATCH(M$3,tblData[#Headers],0))</f>
        <v>126</v>
      </c>
      <c r="N7">
        <f>INDEX(tblData[],MATCH(tblYoY[[#This Row],[Maand]],tblData[Maand],0),MATCH(N$3,tblData[#Headers],0))</f>
        <v>301405</v>
      </c>
      <c r="O7">
        <f>INDEX(tblData[],MATCH(tblYoY[[#This Row],[Maand]],tblData[Maand],0),MATCH(O$3,tblData[#Headers],0))</f>
        <v>165758</v>
      </c>
      <c r="P7">
        <f>INDEX(tblData[],MATCH(tblYoY[[#This Row],[Maand]],tblData[Maand],0),MATCH(P$3,tblData[#Headers],0))</f>
        <v>155728</v>
      </c>
      <c r="Q7">
        <f>INDEX(tblData[],MATCH(tblYoY[[#This Row],[Maand]],tblData[Maand],0),MATCH(Q$3,tblData[#Headers],0))</f>
        <v>0.17</v>
      </c>
      <c r="R7">
        <f>INDEX(tblData[],MATCH(tblYoY[[#This Row],[Maand]],tblData[Maand],0),MATCH(R$3,tblData[#Headers],0))</f>
        <v>388</v>
      </c>
      <c r="S7">
        <f>INDEX(tblData[],MATCH(tblYoY[[#This Row],[Maand]],tblData[Maand],0),MATCH(S$3,tblData[#Headers],0))</f>
        <v>0.48</v>
      </c>
      <c r="T7">
        <f>INDEX(tblData[],MATCH(tblYoY[[#This Row],[Maand]],tblData[Maand],0),MATCH(T$3,tblData[#Headers],0))</f>
        <v>0.28999999999999998</v>
      </c>
      <c r="U7">
        <f>INDEX(tblData[],MATCH(tblYoY[[#This Row],[Maand]],tblData[Maand],0),MATCH(U$3,tblData[#Headers],0))</f>
        <v>419</v>
      </c>
      <c r="V7">
        <f>INDEX(tblData[],MATCH(tblYoY[[#This Row],[Maand]],tblData[Maand],0),MATCH(V$3,tblData[#Headers],0))</f>
        <v>1.25</v>
      </c>
      <c r="W7">
        <f>INDEX(tblData[],MATCH(tblYoY[[#This Row],[Maand]],tblData[Maand],0),MATCH(W$3,tblData[#Headers],0))</f>
        <v>118</v>
      </c>
    </row>
    <row r="8" spans="2:23" x14ac:dyDescent="0.25">
      <c r="B8">
        <v>4</v>
      </c>
      <c r="C8" s="51">
        <f>EDATE(DtmRef,tblYoY[[#This Row],[YoY]]-12)</f>
        <v>44531</v>
      </c>
      <c r="D8">
        <f>INDEX(tblData[],MATCH(tblYoY[[#This Row],[Maand]],tblData[Maand],0),MATCH(D$3,tblData[#Headers],0))</f>
        <v>308865</v>
      </c>
      <c r="E8">
        <f>INDEX(tblData[],MATCH(tblYoY[[#This Row],[Maand]],tblData[Maand],0),MATCH(E$3,tblData[#Headers],0))</f>
        <v>247367</v>
      </c>
      <c r="F8">
        <f>INDEX(tblData[],MATCH(tblYoY[[#This Row],[Maand]],tblData[Maand],0),MATCH(F$3,tblData[#Headers],0))</f>
        <v>158168</v>
      </c>
      <c r="G8">
        <f>INDEX(tblData[],MATCH(tblYoY[[#This Row],[Maand]],tblData[Maand],0),MATCH(G$3,tblData[#Headers],0))</f>
        <v>0.20065020075520401</v>
      </c>
      <c r="H8">
        <f>INDEX(tblData[],MATCH(tblYoY[[#This Row],[Maand]],tblData[Maand],0),MATCH(H$3,tblData[#Headers],0))</f>
        <v>543</v>
      </c>
      <c r="I8">
        <f>INDEX(tblData[],MATCH(tblYoY[[#This Row],[Maand]],tblData[Maand],0),MATCH(I$3,tblData[#Headers],0))</f>
        <v>0.62</v>
      </c>
      <c r="J8">
        <f>INDEX(tblData[],MATCH(tblYoY[[#This Row],[Maand]],tblData[Maand],0),MATCH(J$3,tblData[#Headers],0))</f>
        <v>0.37</v>
      </c>
      <c r="K8">
        <f>INDEX(tblData[],MATCH(tblYoY[[#This Row],[Maand]],tblData[Maand],0),MATCH(K$3,tblData[#Headers],0))</f>
        <v>568.81215469613255</v>
      </c>
      <c r="L8">
        <f>INDEX(tblData[],MATCH(tblYoY[[#This Row],[Maand]],tblData[Maand],0),MATCH(L$3,tblData[#Headers],0))</f>
        <v>0.86599999999999999</v>
      </c>
      <c r="M8">
        <f>INDEX(tblData[],MATCH(tblYoY[[#This Row],[Maand]],tblData[Maand],0),MATCH(M$3,tblData[#Headers],0))</f>
        <v>122</v>
      </c>
      <c r="N8">
        <f>INDEX(tblData[],MATCH(tblYoY[[#This Row],[Maand]],tblData[Maand],0),MATCH(N$3,tblData[#Headers],0))</f>
        <v>300323</v>
      </c>
      <c r="O8">
        <f>INDEX(tblData[],MATCH(tblYoY[[#This Row],[Maand]],tblData[Maand],0),MATCH(O$3,tblData[#Headers],0))</f>
        <v>164195</v>
      </c>
      <c r="P8">
        <f>INDEX(tblData[],MATCH(tblYoY[[#This Row],[Maand]],tblData[Maand],0),MATCH(P$3,tblData[#Headers],0))</f>
        <v>157616</v>
      </c>
      <c r="Q8">
        <f>INDEX(tblData[],MATCH(tblYoY[[#This Row],[Maand]],tblData[Maand],0),MATCH(Q$3,tblData[#Headers],0))</f>
        <v>0.16</v>
      </c>
      <c r="R8">
        <f>INDEX(tblData[],MATCH(tblYoY[[#This Row],[Maand]],tblData[Maand],0),MATCH(R$3,tblData[#Headers],0))</f>
        <v>384</v>
      </c>
      <c r="S8">
        <f>INDEX(tblData[],MATCH(tblYoY[[#This Row],[Maand]],tblData[Maand],0),MATCH(S$3,tblData[#Headers],0))</f>
        <v>0.49</v>
      </c>
      <c r="T8">
        <f>INDEX(tblData[],MATCH(tblYoY[[#This Row],[Maand]],tblData[Maand],0),MATCH(T$3,tblData[#Headers],0))</f>
        <v>0.28000000000000003</v>
      </c>
      <c r="U8">
        <f>INDEX(tblData[],MATCH(tblYoY[[#This Row],[Maand]],tblData[Maand],0),MATCH(U$3,tblData[#Headers],0))</f>
        <v>414</v>
      </c>
      <c r="V8">
        <f>INDEX(tblData[],MATCH(tblYoY[[#This Row],[Maand]],tblData[Maand],0),MATCH(V$3,tblData[#Headers],0))</f>
        <v>1.29</v>
      </c>
      <c r="W8">
        <f>INDEX(tblData[],MATCH(tblYoY[[#This Row],[Maand]],tblData[Maand],0),MATCH(W$3,tblData[#Headers],0))</f>
        <v>116</v>
      </c>
    </row>
    <row r="9" spans="2:23" x14ac:dyDescent="0.25">
      <c r="B9">
        <v>5</v>
      </c>
      <c r="C9" s="51">
        <f>EDATE(DtmRef,tblYoY[[#This Row],[YoY]]-12)</f>
        <v>44562</v>
      </c>
      <c r="D9">
        <f>INDEX(tblData[],MATCH(tblYoY[[#This Row],[Maand]],tblData[Maand],0),MATCH(D$3,tblData[#Headers],0))</f>
        <v>306270</v>
      </c>
      <c r="E9">
        <f>INDEX(tblData[],MATCH(tblYoY[[#This Row],[Maand]],tblData[Maand],0),MATCH(E$3,tblData[#Headers],0))</f>
        <v>250941</v>
      </c>
      <c r="F9">
        <f>INDEX(tblData[],MATCH(tblYoY[[#This Row],[Maand]],tblData[Maand],0),MATCH(F$3,tblData[#Headers],0))</f>
        <v>157199</v>
      </c>
      <c r="G9">
        <f>INDEX(tblData[],MATCH(tblYoY[[#This Row],[Maand]],tblData[Maand],0),MATCH(G$3,tblData[#Headers],0))</f>
        <v>0.19267033272978829</v>
      </c>
      <c r="H9">
        <f>INDEX(tblData[],MATCH(tblYoY[[#This Row],[Maand]],tblData[Maand],0),MATCH(H$3,tblData[#Headers],0))</f>
        <v>542</v>
      </c>
      <c r="I9">
        <f>INDEX(tblData[],MATCH(tblYoY[[#This Row],[Maand]],tblData[Maand],0),MATCH(I$3,tblData[#Headers],0))</f>
        <v>0.63</v>
      </c>
      <c r="J9">
        <f>INDEX(tblData[],MATCH(tblYoY[[#This Row],[Maand]],tblData[Maand],0),MATCH(J$3,tblData[#Headers],0))</f>
        <v>0.36</v>
      </c>
      <c r="K9">
        <f>INDEX(tblData[],MATCH(tblYoY[[#This Row],[Maand]],tblData[Maand],0),MATCH(K$3,tblData[#Headers],0))</f>
        <v>565.07380073800744</v>
      </c>
      <c r="L9">
        <f>INDEX(tblData[],MATCH(tblYoY[[#This Row],[Maand]],tblData[Maand],0),MATCH(L$3,tblData[#Headers],0))</f>
        <v>0.86599999999999999</v>
      </c>
      <c r="M9">
        <f>INDEX(tblData[],MATCH(tblYoY[[#This Row],[Maand]],tblData[Maand],0),MATCH(M$3,tblData[#Headers],0))</f>
        <v>119</v>
      </c>
      <c r="N9">
        <f>INDEX(tblData[],MATCH(tblYoY[[#This Row],[Maand]],tblData[Maand],0),MATCH(N$3,tblData[#Headers],0))</f>
        <v>299206</v>
      </c>
      <c r="O9">
        <f>INDEX(tblData[],MATCH(tblYoY[[#This Row],[Maand]],tblData[Maand],0),MATCH(O$3,tblData[#Headers],0))</f>
        <v>162579</v>
      </c>
      <c r="P9">
        <f>INDEX(tblData[],MATCH(tblYoY[[#This Row],[Maand]],tblData[Maand],0),MATCH(P$3,tblData[#Headers],0))</f>
        <v>159567</v>
      </c>
      <c r="Q9">
        <f>INDEX(tblData[],MATCH(tblYoY[[#This Row],[Maand]],tblData[Maand],0),MATCH(Q$3,tblData[#Headers],0))</f>
        <v>0.16</v>
      </c>
      <c r="R9">
        <f>INDEX(tblData[],MATCH(tblYoY[[#This Row],[Maand]],tblData[Maand],0),MATCH(R$3,tblData[#Headers],0))</f>
        <v>380</v>
      </c>
      <c r="S9">
        <f>INDEX(tblData[],MATCH(tblYoY[[#This Row],[Maand]],tblData[Maand],0),MATCH(S$3,tblData[#Headers],0))</f>
        <v>0.5</v>
      </c>
      <c r="T9">
        <f>INDEX(tblData[],MATCH(tblYoY[[#This Row],[Maand]],tblData[Maand],0),MATCH(T$3,tblData[#Headers],0))</f>
        <v>0.27</v>
      </c>
      <c r="U9">
        <f>INDEX(tblData[],MATCH(tblYoY[[#This Row],[Maand]],tblData[Maand],0),MATCH(U$3,tblData[#Headers],0))</f>
        <v>409</v>
      </c>
      <c r="V9">
        <f>INDEX(tblData[],MATCH(tblYoY[[#This Row],[Maand]],tblData[Maand],0),MATCH(V$3,tblData[#Headers],0))</f>
        <v>1.33</v>
      </c>
      <c r="W9">
        <f>INDEX(tblData[],MATCH(tblYoY[[#This Row],[Maand]],tblData[Maand],0),MATCH(W$3,tblData[#Headers],0))</f>
        <v>114</v>
      </c>
    </row>
    <row r="10" spans="2:23" x14ac:dyDescent="0.25">
      <c r="B10">
        <v>6</v>
      </c>
      <c r="C10" s="51">
        <f>EDATE(DtmRef,tblYoY[[#This Row],[YoY]]-12)</f>
        <v>44593</v>
      </c>
      <c r="D10">
        <f>INDEX(tblData[],MATCH(tblYoY[[#This Row],[Maand]],tblData[Maand],0),MATCH(D$3,tblData[#Headers],0))</f>
        <v>300573</v>
      </c>
      <c r="E10">
        <f>INDEX(tblData[],MATCH(tblYoY[[#This Row],[Maand]],tblData[Maand],0),MATCH(E$3,tblData[#Headers],0))</f>
        <v>249496</v>
      </c>
      <c r="F10">
        <f>INDEX(tblData[],MATCH(tblYoY[[#This Row],[Maand]],tblData[Maand],0),MATCH(F$3,tblData[#Headers],0))</f>
        <v>159661</v>
      </c>
      <c r="G10">
        <f>INDEX(tblData[],MATCH(tblYoY[[#This Row],[Maand]],tblData[Maand],0),MATCH(G$3,tblData[#Headers],0))</f>
        <v>0.18469046470437434</v>
      </c>
      <c r="H10">
        <f>INDEX(tblData[],MATCH(tblYoY[[#This Row],[Maand]],tblData[Maand],0),MATCH(H$3,tblData[#Headers],0))</f>
        <v>541</v>
      </c>
      <c r="I10">
        <f>INDEX(tblData[],MATCH(tblYoY[[#This Row],[Maand]],tblData[Maand],0),MATCH(I$3,tblData[#Headers],0))</f>
        <v>0.64</v>
      </c>
      <c r="J10">
        <f>INDEX(tblData[],MATCH(tblYoY[[#This Row],[Maand]],tblData[Maand],0),MATCH(J$3,tblData[#Headers],0))</f>
        <v>0.35</v>
      </c>
      <c r="K10">
        <f>INDEX(tblData[],MATCH(tblYoY[[#This Row],[Maand]],tblData[Maand],0),MATCH(K$3,tblData[#Headers],0))</f>
        <v>555.58780036968574</v>
      </c>
      <c r="L10">
        <f>INDEX(tblData[],MATCH(tblYoY[[#This Row],[Maand]],tblData[Maand],0),MATCH(L$3,tblData[#Headers],0))</f>
        <v>0.86599999999999999</v>
      </c>
      <c r="M10">
        <f>INDEX(tblData[],MATCH(tblYoY[[#This Row],[Maand]],tblData[Maand],0),MATCH(M$3,tblData[#Headers],0))</f>
        <v>116</v>
      </c>
      <c r="N10">
        <f>INDEX(tblData[],MATCH(tblYoY[[#This Row],[Maand]],tblData[Maand],0),MATCH(N$3,tblData[#Headers],0))</f>
        <v>298088</v>
      </c>
      <c r="O10">
        <f>INDEX(tblData[],MATCH(tblYoY[[#This Row],[Maand]],tblData[Maand],0),MATCH(O$3,tblData[#Headers],0))</f>
        <v>160963</v>
      </c>
      <c r="P10">
        <f>INDEX(tblData[],MATCH(tblYoY[[#This Row],[Maand]],tblData[Maand],0),MATCH(P$3,tblData[#Headers],0))</f>
        <v>161519</v>
      </c>
      <c r="Q10">
        <f>INDEX(tblData[],MATCH(tblYoY[[#This Row],[Maand]],tblData[Maand],0),MATCH(Q$3,tblData[#Headers],0))</f>
        <v>0.15</v>
      </c>
      <c r="R10">
        <f>INDEX(tblData[],MATCH(tblYoY[[#This Row],[Maand]],tblData[Maand],0),MATCH(R$3,tblData[#Headers],0))</f>
        <v>376</v>
      </c>
      <c r="S10">
        <f>INDEX(tblData[],MATCH(tblYoY[[#This Row],[Maand]],tblData[Maand],0),MATCH(S$3,tblData[#Headers],0))</f>
        <v>0.51</v>
      </c>
      <c r="T10">
        <f>INDEX(tblData[],MATCH(tblYoY[[#This Row],[Maand]],tblData[Maand],0),MATCH(T$3,tblData[#Headers],0))</f>
        <v>0.26</v>
      </c>
      <c r="U10">
        <f>INDEX(tblData[],MATCH(tblYoY[[#This Row],[Maand]],tblData[Maand],0),MATCH(U$3,tblData[#Headers],0))</f>
        <v>404</v>
      </c>
      <c r="V10">
        <f>INDEX(tblData[],MATCH(tblYoY[[#This Row],[Maand]],tblData[Maand],0),MATCH(V$3,tblData[#Headers],0))</f>
        <v>1.37</v>
      </c>
      <c r="W10">
        <f>INDEX(tblData[],MATCH(tblYoY[[#This Row],[Maand]],tblData[Maand],0),MATCH(W$3,tblData[#Headers],0))</f>
        <v>112</v>
      </c>
    </row>
    <row r="11" spans="2:23" x14ac:dyDescent="0.25">
      <c r="B11">
        <v>7</v>
      </c>
      <c r="C11" s="51">
        <f>EDATE(DtmRef,tblYoY[[#This Row],[YoY]]-12)</f>
        <v>44621</v>
      </c>
      <c r="D11">
        <f>INDEX(tblData[],MATCH(tblYoY[[#This Row],[Maand]],tblData[Maand],0),MATCH(D$3,tblData[#Headers],0))</f>
        <v>298960</v>
      </c>
      <c r="E11">
        <f>INDEX(tblData[],MATCH(tblYoY[[#This Row],[Maand]],tblData[Maand],0),MATCH(E$3,tblData[#Headers],0))</f>
        <v>245312</v>
      </c>
      <c r="F11">
        <f>INDEX(tblData[],MATCH(tblYoY[[#This Row],[Maand]],tblData[Maand],0),MATCH(F$3,tblData[#Headers],0))</f>
        <v>159461</v>
      </c>
      <c r="G11">
        <f>INDEX(tblData[],MATCH(tblYoY[[#This Row],[Maand]],tblData[Maand],0),MATCH(G$3,tblData[#Headers],0))</f>
        <v>0.1774828419717398</v>
      </c>
      <c r="H11">
        <f>INDEX(tblData[],MATCH(tblYoY[[#This Row],[Maand]],tblData[Maand],0),MATCH(H$3,tblData[#Headers],0))</f>
        <v>540</v>
      </c>
      <c r="I11">
        <f>INDEX(tblData[],MATCH(tblYoY[[#This Row],[Maand]],tblData[Maand],0),MATCH(I$3,tblData[#Headers],0))</f>
        <v>0.64</v>
      </c>
      <c r="J11">
        <f>INDEX(tblData[],MATCH(tblYoY[[#This Row],[Maand]],tblData[Maand],0),MATCH(J$3,tblData[#Headers],0))</f>
        <v>0.35</v>
      </c>
      <c r="K11">
        <f>INDEX(tblData[],MATCH(tblYoY[[#This Row],[Maand]],tblData[Maand],0),MATCH(K$3,tblData[#Headers],0))</f>
        <v>553.62962962962968</v>
      </c>
      <c r="L11">
        <f>INDEX(tblData[],MATCH(tblYoY[[#This Row],[Maand]],tblData[Maand],0),MATCH(L$3,tblData[#Headers],0))</f>
        <v>0.86599999999999999</v>
      </c>
      <c r="M11">
        <f>INDEX(tblData[],MATCH(tblYoY[[#This Row],[Maand]],tblData[Maand],0),MATCH(M$3,tblData[#Headers],0))</f>
        <v>113</v>
      </c>
      <c r="N11">
        <f>INDEX(tblData[],MATCH(tblYoY[[#This Row],[Maand]],tblData[Maand],0),MATCH(N$3,tblData[#Headers],0))</f>
        <v>297079</v>
      </c>
      <c r="O11">
        <f>INDEX(tblData[],MATCH(tblYoY[[#This Row],[Maand]],tblData[Maand],0),MATCH(O$3,tblData[#Headers],0))</f>
        <v>159504</v>
      </c>
      <c r="P11">
        <f>INDEX(tblData[],MATCH(tblYoY[[#This Row],[Maand]],tblData[Maand],0),MATCH(P$3,tblData[#Headers],0))</f>
        <v>163281</v>
      </c>
      <c r="Q11">
        <f>INDEX(tblData[],MATCH(tblYoY[[#This Row],[Maand]],tblData[Maand],0),MATCH(Q$3,tblData[#Headers],0))</f>
        <v>0.14000000000000001</v>
      </c>
      <c r="R11">
        <f>INDEX(tblData[],MATCH(tblYoY[[#This Row],[Maand]],tblData[Maand],0),MATCH(R$3,tblData[#Headers],0))</f>
        <v>372</v>
      </c>
      <c r="S11">
        <f>INDEX(tblData[],MATCH(tblYoY[[#This Row],[Maand]],tblData[Maand],0),MATCH(S$3,tblData[#Headers],0))</f>
        <v>0.52</v>
      </c>
      <c r="T11">
        <f>INDEX(tblData[],MATCH(tblYoY[[#This Row],[Maand]],tblData[Maand],0),MATCH(T$3,tblData[#Headers],0))</f>
        <v>0.25</v>
      </c>
      <c r="U11">
        <f>INDEX(tblData[],MATCH(tblYoY[[#This Row],[Maand]],tblData[Maand],0),MATCH(U$3,tblData[#Headers],0))</f>
        <v>399</v>
      </c>
      <c r="V11">
        <f>INDEX(tblData[],MATCH(tblYoY[[#This Row],[Maand]],tblData[Maand],0),MATCH(V$3,tblData[#Headers],0))</f>
        <v>1.41</v>
      </c>
      <c r="W11">
        <f>INDEX(tblData[],MATCH(tblYoY[[#This Row],[Maand]],tblData[Maand],0),MATCH(W$3,tblData[#Headers],0))</f>
        <v>110</v>
      </c>
    </row>
    <row r="12" spans="2:23" x14ac:dyDescent="0.25">
      <c r="B12">
        <v>8</v>
      </c>
      <c r="C12" s="51">
        <f>EDATE(DtmRef,tblYoY[[#This Row],[YoY]]-12)</f>
        <v>44652</v>
      </c>
      <c r="D12">
        <f>INDEX(tblData[],MATCH(tblYoY[[#This Row],[Maand]],tblData[Maand],0),MATCH(D$3,tblData[#Headers],0))</f>
        <v>300034</v>
      </c>
      <c r="E12">
        <f>INDEX(tblData[],MATCH(tblYoY[[#This Row],[Maand]],tblData[Maand],0),MATCH(E$3,tblData[#Headers],0))</f>
        <v>252413</v>
      </c>
      <c r="F12">
        <f>INDEX(tblData[],MATCH(tblYoY[[#This Row],[Maand]],tblData[Maand],0),MATCH(F$3,tblData[#Headers],0))</f>
        <v>159295</v>
      </c>
      <c r="G12">
        <f>INDEX(tblData[],MATCH(tblYoY[[#This Row],[Maand]],tblData[Maand],0),MATCH(G$3,tblData[#Headers],0))</f>
        <v>0.16950297394632585</v>
      </c>
      <c r="H12">
        <f>INDEX(tblData[],MATCH(tblYoY[[#This Row],[Maand]],tblData[Maand],0),MATCH(H$3,tblData[#Headers],0))</f>
        <v>539</v>
      </c>
      <c r="I12">
        <f>INDEX(tblData[],MATCH(tblYoY[[#This Row],[Maand]],tblData[Maand],0),MATCH(I$3,tblData[#Headers],0))</f>
        <v>0.65</v>
      </c>
      <c r="J12">
        <f>INDEX(tblData[],MATCH(tblYoY[[#This Row],[Maand]],tblData[Maand],0),MATCH(J$3,tblData[#Headers],0))</f>
        <v>0.34</v>
      </c>
      <c r="K12">
        <f>INDEX(tblData[],MATCH(tblYoY[[#This Row],[Maand]],tblData[Maand],0),MATCH(K$3,tblData[#Headers],0))</f>
        <v>556.64935064935059</v>
      </c>
      <c r="L12">
        <f>INDEX(tblData[],MATCH(tblYoY[[#This Row],[Maand]],tblData[Maand],0),MATCH(L$3,tblData[#Headers],0))</f>
        <v>0.86599999999999999</v>
      </c>
      <c r="M12">
        <f>INDEX(tblData[],MATCH(tblYoY[[#This Row],[Maand]],tblData[Maand],0),MATCH(M$3,tblData[#Headers],0))</f>
        <v>110</v>
      </c>
      <c r="N12">
        <f>INDEX(tblData[],MATCH(tblYoY[[#This Row],[Maand]],tblData[Maand],0),MATCH(N$3,tblData[#Headers],0))</f>
        <v>295961</v>
      </c>
      <c r="O12">
        <f>INDEX(tblData[],MATCH(tblYoY[[#This Row],[Maand]],tblData[Maand],0),MATCH(O$3,tblData[#Headers],0))</f>
        <v>157888</v>
      </c>
      <c r="P12">
        <f>INDEX(tblData[],MATCH(tblYoY[[#This Row],[Maand]],tblData[Maand],0),MATCH(P$3,tblData[#Headers],0))</f>
        <v>165233</v>
      </c>
      <c r="Q12">
        <f>INDEX(tblData[],MATCH(tblYoY[[#This Row],[Maand]],tblData[Maand],0),MATCH(Q$3,tblData[#Headers],0))</f>
        <v>0.13</v>
      </c>
      <c r="R12">
        <f>INDEX(tblData[],MATCH(tblYoY[[#This Row],[Maand]],tblData[Maand],0),MATCH(R$3,tblData[#Headers],0))</f>
        <v>368</v>
      </c>
      <c r="S12">
        <f>INDEX(tblData[],MATCH(tblYoY[[#This Row],[Maand]],tblData[Maand],0),MATCH(S$3,tblData[#Headers],0))</f>
        <v>0.53</v>
      </c>
      <c r="T12">
        <f>INDEX(tblData[],MATCH(tblYoY[[#This Row],[Maand]],tblData[Maand],0),MATCH(T$3,tblData[#Headers],0))</f>
        <v>0.24</v>
      </c>
      <c r="U12">
        <f>INDEX(tblData[],MATCH(tblYoY[[#This Row],[Maand]],tblData[Maand],0),MATCH(U$3,tblData[#Headers],0))</f>
        <v>394</v>
      </c>
      <c r="V12">
        <f>INDEX(tblData[],MATCH(tblYoY[[#This Row],[Maand]],tblData[Maand],0),MATCH(V$3,tblData[#Headers],0))</f>
        <v>1.45</v>
      </c>
      <c r="W12">
        <f>INDEX(tblData[],MATCH(tblYoY[[#This Row],[Maand]],tblData[Maand],0),MATCH(W$3,tblData[#Headers],0))</f>
        <v>108</v>
      </c>
    </row>
    <row r="13" spans="2:23" x14ac:dyDescent="0.25">
      <c r="B13">
        <v>9</v>
      </c>
      <c r="C13" s="51">
        <f>EDATE(DtmRef,tblYoY[[#This Row],[YoY]]-12)</f>
        <v>44682</v>
      </c>
      <c r="D13">
        <f>INDEX(tblData[],MATCH(tblYoY[[#This Row],[Maand]],tblData[Maand],0),MATCH(D$3,tblData[#Headers],0))</f>
        <v>302646</v>
      </c>
      <c r="E13">
        <f>INDEX(tblData[],MATCH(tblYoY[[#This Row],[Maand]],tblData[Maand],0),MATCH(E$3,tblData[#Headers],0))</f>
        <v>257894</v>
      </c>
      <c r="F13">
        <f>INDEX(tblData[],MATCH(tblYoY[[#This Row],[Maand]],tblData[Maand],0),MATCH(F$3,tblData[#Headers],0))</f>
        <v>160076</v>
      </c>
      <c r="G13">
        <f>INDEX(tblData[],MATCH(tblYoY[[#This Row],[Maand]],tblData[Maand],0),MATCH(G$3,tblData[#Headers],0))</f>
        <v>0.16178052101850326</v>
      </c>
      <c r="H13">
        <f>INDEX(tblData[],MATCH(tblYoY[[#This Row],[Maand]],tblData[Maand],0),MATCH(H$3,tblData[#Headers],0))</f>
        <v>538</v>
      </c>
      <c r="I13">
        <f>INDEX(tblData[],MATCH(tblYoY[[#This Row],[Maand]],tblData[Maand],0),MATCH(I$3,tblData[#Headers],0))</f>
        <v>0.65</v>
      </c>
      <c r="J13">
        <f>INDEX(tblData[],MATCH(tblYoY[[#This Row],[Maand]],tblData[Maand],0),MATCH(J$3,tblData[#Headers],0))</f>
        <v>0.34</v>
      </c>
      <c r="K13">
        <f>INDEX(tblData[],MATCH(tblYoY[[#This Row],[Maand]],tblData[Maand],0),MATCH(K$3,tblData[#Headers],0))</f>
        <v>562.53903345724905</v>
      </c>
      <c r="L13">
        <f>INDEX(tblData[],MATCH(tblYoY[[#This Row],[Maand]],tblData[Maand],0),MATCH(L$3,tblData[#Headers],0))</f>
        <v>0.86599999999999999</v>
      </c>
      <c r="M13">
        <f>INDEX(tblData[],MATCH(tblYoY[[#This Row],[Maand]],tblData[Maand],0),MATCH(M$3,tblData[#Headers],0))</f>
        <v>107</v>
      </c>
      <c r="N13">
        <f>INDEX(tblData[],MATCH(tblYoY[[#This Row],[Maand]],tblData[Maand],0),MATCH(N$3,tblData[#Headers],0))</f>
        <v>294880</v>
      </c>
      <c r="O13">
        <f>INDEX(tblData[],MATCH(tblYoY[[#This Row],[Maand]],tblData[Maand],0),MATCH(O$3,tblData[#Headers],0))</f>
        <v>156324</v>
      </c>
      <c r="P13">
        <f>INDEX(tblData[],MATCH(tblYoY[[#This Row],[Maand]],tblData[Maand],0),MATCH(P$3,tblData[#Headers],0))</f>
        <v>167121</v>
      </c>
      <c r="Q13">
        <f>INDEX(tblData[],MATCH(tblYoY[[#This Row],[Maand]],tblData[Maand],0),MATCH(Q$3,tblData[#Headers],0))</f>
        <v>0.13</v>
      </c>
      <c r="R13">
        <f>INDEX(tblData[],MATCH(tblYoY[[#This Row],[Maand]],tblData[Maand],0),MATCH(R$3,tblData[#Headers],0))</f>
        <v>364</v>
      </c>
      <c r="S13">
        <f>INDEX(tblData[],MATCH(tblYoY[[#This Row],[Maand]],tblData[Maand],0),MATCH(S$3,tblData[#Headers],0))</f>
        <v>0.54</v>
      </c>
      <c r="T13">
        <f>INDEX(tblData[],MATCH(tblYoY[[#This Row],[Maand]],tblData[Maand],0),MATCH(T$3,tblData[#Headers],0))</f>
        <v>0.23</v>
      </c>
      <c r="U13">
        <f>INDEX(tblData[],MATCH(tblYoY[[#This Row],[Maand]],tblData[Maand],0),MATCH(U$3,tblData[#Headers],0))</f>
        <v>389</v>
      </c>
      <c r="V13">
        <f>INDEX(tblData[],MATCH(tblYoY[[#This Row],[Maand]],tblData[Maand],0),MATCH(V$3,tblData[#Headers],0))</f>
        <v>1.49</v>
      </c>
      <c r="W13">
        <f>INDEX(tblData[],MATCH(tblYoY[[#This Row],[Maand]],tblData[Maand],0),MATCH(W$3,tblData[#Headers],0))</f>
        <v>106</v>
      </c>
    </row>
    <row r="14" spans="2:23" x14ac:dyDescent="0.25">
      <c r="B14">
        <v>10</v>
      </c>
      <c r="C14" s="51">
        <f>EDATE(DtmRef,tblYoY[[#This Row],[YoY]]-12)</f>
        <v>44713</v>
      </c>
      <c r="D14">
        <f>INDEX(tblData[],MATCH(tblYoY[[#This Row],[Maand]],tblData[Maand],0),MATCH(D$3,tblData[#Headers],0))</f>
        <v>300916</v>
      </c>
      <c r="E14">
        <f>INDEX(tblData[],MATCH(tblYoY[[#This Row],[Maand]],tblData[Maand],0),MATCH(E$3,tblData[#Headers],0))</f>
        <v>256401</v>
      </c>
      <c r="F14">
        <f>INDEX(tblData[],MATCH(tblYoY[[#This Row],[Maand]],tblData[Maand],0),MATCH(F$3,tblData[#Headers],0))</f>
        <v>159006</v>
      </c>
      <c r="G14">
        <f>INDEX(tblData[],MATCH(tblYoY[[#This Row],[Maand]],tblData[Maand],0),MATCH(G$3,tblData[#Headers],0))</f>
        <v>0.15380065299308932</v>
      </c>
      <c r="H14">
        <f>INDEX(tblData[],MATCH(tblYoY[[#This Row],[Maand]],tblData[Maand],0),MATCH(H$3,tblData[#Headers],0))</f>
        <v>537</v>
      </c>
      <c r="I14">
        <f>INDEX(tblData[],MATCH(tblYoY[[#This Row],[Maand]],tblData[Maand],0),MATCH(I$3,tblData[#Headers],0))</f>
        <v>0.66</v>
      </c>
      <c r="J14">
        <f>INDEX(tblData[],MATCH(tblYoY[[#This Row],[Maand]],tblData[Maand],0),MATCH(J$3,tblData[#Headers],0))</f>
        <v>0.33</v>
      </c>
      <c r="K14">
        <f>INDEX(tblData[],MATCH(tblYoY[[#This Row],[Maand]],tblData[Maand],0),MATCH(K$3,tblData[#Headers],0))</f>
        <v>560.36499068901298</v>
      </c>
      <c r="L14">
        <f>INDEX(tblData[],MATCH(tblYoY[[#This Row],[Maand]],tblData[Maand],0),MATCH(L$3,tblData[#Headers],0))</f>
        <v>0.86499999999999999</v>
      </c>
      <c r="M14">
        <f>INDEX(tblData[],MATCH(tblYoY[[#This Row],[Maand]],tblData[Maand],0),MATCH(M$3,tblData[#Headers],0))</f>
        <v>103</v>
      </c>
      <c r="N14">
        <f>INDEX(tblData[],MATCH(tblYoY[[#This Row],[Maand]],tblData[Maand],0),MATCH(N$3,tblData[#Headers],0))</f>
        <v>293762</v>
      </c>
      <c r="O14">
        <f>INDEX(tblData[],MATCH(tblYoY[[#This Row],[Maand]],tblData[Maand],0),MATCH(O$3,tblData[#Headers],0))</f>
        <v>154708</v>
      </c>
      <c r="P14">
        <f>INDEX(tblData[],MATCH(tblYoY[[#This Row],[Maand]],tblData[Maand],0),MATCH(P$3,tblData[#Headers],0))</f>
        <v>169072</v>
      </c>
      <c r="Q14">
        <f>INDEX(tblData[],MATCH(tblYoY[[#This Row],[Maand]],tblData[Maand],0),MATCH(Q$3,tblData[#Headers],0))</f>
        <v>0.12</v>
      </c>
      <c r="R14">
        <f>INDEX(tblData[],MATCH(tblYoY[[#This Row],[Maand]],tblData[Maand],0),MATCH(R$3,tblData[#Headers],0))</f>
        <v>360</v>
      </c>
      <c r="S14">
        <f>INDEX(tblData[],MATCH(tblYoY[[#This Row],[Maand]],tblData[Maand],0),MATCH(S$3,tblData[#Headers],0))</f>
        <v>0.55000000000000004</v>
      </c>
      <c r="T14">
        <f>INDEX(tblData[],MATCH(tblYoY[[#This Row],[Maand]],tblData[Maand],0),MATCH(T$3,tblData[#Headers],0))</f>
        <v>0.22</v>
      </c>
      <c r="U14">
        <f>INDEX(tblData[],MATCH(tblYoY[[#This Row],[Maand]],tblData[Maand],0),MATCH(U$3,tblData[#Headers],0))</f>
        <v>383</v>
      </c>
      <c r="V14">
        <f>INDEX(tblData[],MATCH(tblYoY[[#This Row],[Maand]],tblData[Maand],0),MATCH(V$3,tblData[#Headers],0))</f>
        <v>1.53</v>
      </c>
      <c r="W14">
        <f>INDEX(tblData[],MATCH(tblYoY[[#This Row],[Maand]],tblData[Maand],0),MATCH(W$3,tblData[#Headers],0))</f>
        <v>104</v>
      </c>
    </row>
    <row r="15" spans="2:23" x14ac:dyDescent="0.25">
      <c r="B15">
        <v>11</v>
      </c>
      <c r="C15" s="51">
        <f>EDATE(DtmRef,tblYoY[[#This Row],[YoY]]-12)</f>
        <v>44743</v>
      </c>
      <c r="D15">
        <f>INDEX(tblData[],MATCH(tblYoY[[#This Row],[Maand]],tblData[Maand],0),MATCH(D$3,tblData[#Headers],0))</f>
        <v>304823</v>
      </c>
      <c r="E15">
        <f>INDEX(tblData[],MATCH(tblYoY[[#This Row],[Maand]],tblData[Maand],0),MATCH(E$3,tblData[#Headers],0))</f>
        <v>266424</v>
      </c>
      <c r="F15">
        <f>INDEX(tblData[],MATCH(tblYoY[[#This Row],[Maand]],tblData[Maand],0),MATCH(F$3,tblData[#Headers],0))</f>
        <v>159289</v>
      </c>
      <c r="G15">
        <f>INDEX(tblData[],MATCH(tblYoY[[#This Row],[Maand]],tblData[Maand],0),MATCH(G$3,tblData[#Headers],0))</f>
        <v>0.1460782000652685</v>
      </c>
      <c r="H15">
        <f>INDEX(tblData[],MATCH(tblYoY[[#This Row],[Maand]],tblData[Maand],0),MATCH(H$3,tblData[#Headers],0))</f>
        <v>536</v>
      </c>
      <c r="I15">
        <f>INDEX(tblData[],MATCH(tblYoY[[#This Row],[Maand]],tblData[Maand],0),MATCH(I$3,tblData[#Headers],0))</f>
        <v>0.67</v>
      </c>
      <c r="J15">
        <f>INDEX(tblData[],MATCH(tblYoY[[#This Row],[Maand]],tblData[Maand],0),MATCH(J$3,tblData[#Headers],0))</f>
        <v>0.32</v>
      </c>
      <c r="K15">
        <f>INDEX(tblData[],MATCH(tblYoY[[#This Row],[Maand]],tblData[Maand],0),MATCH(K$3,tblData[#Headers],0))</f>
        <v>568.69962686567169</v>
      </c>
      <c r="L15">
        <f>INDEX(tblData[],MATCH(tblYoY[[#This Row],[Maand]],tblData[Maand],0),MATCH(L$3,tblData[#Headers],0))</f>
        <v>0.86499999999999999</v>
      </c>
      <c r="M15">
        <f>INDEX(tblData[],MATCH(tblYoY[[#This Row],[Maand]],tblData[Maand],0),MATCH(M$3,tblData[#Headers],0))</f>
        <v>100</v>
      </c>
      <c r="N15">
        <f>INDEX(tblData[],MATCH(tblYoY[[#This Row],[Maand]],tblData[Maand],0),MATCH(N$3,tblData[#Headers],0))</f>
        <v>292681</v>
      </c>
      <c r="O15">
        <f>INDEX(tblData[],MATCH(tblYoY[[#This Row],[Maand]],tblData[Maand],0),MATCH(O$3,tblData[#Headers],0))</f>
        <v>153145</v>
      </c>
      <c r="P15">
        <f>INDEX(tblData[],MATCH(tblYoY[[#This Row],[Maand]],tblData[Maand],0),MATCH(P$3,tblData[#Headers],0))</f>
        <v>170961</v>
      </c>
      <c r="Q15">
        <f>INDEX(tblData[],MATCH(tblYoY[[#This Row],[Maand]],tblData[Maand],0),MATCH(Q$3,tblData[#Headers],0))</f>
        <v>0.11</v>
      </c>
      <c r="R15">
        <f>INDEX(tblData[],MATCH(tblYoY[[#This Row],[Maand]],tblData[Maand],0),MATCH(R$3,tblData[#Headers],0))</f>
        <v>356</v>
      </c>
      <c r="S15">
        <f>INDEX(tblData[],MATCH(tblYoY[[#This Row],[Maand]],tblData[Maand],0),MATCH(S$3,tblData[#Headers],0))</f>
        <v>0.56000000000000005</v>
      </c>
      <c r="T15">
        <f>INDEX(tblData[],MATCH(tblYoY[[#This Row],[Maand]],tblData[Maand],0),MATCH(T$3,tblData[#Headers],0))</f>
        <v>0.21</v>
      </c>
      <c r="U15">
        <f>INDEX(tblData[],MATCH(tblYoY[[#This Row],[Maand]],tblData[Maand],0),MATCH(U$3,tblData[#Headers],0))</f>
        <v>378</v>
      </c>
      <c r="V15">
        <f>INDEX(tblData[],MATCH(tblYoY[[#This Row],[Maand]],tblData[Maand],0),MATCH(V$3,tblData[#Headers],0))</f>
        <v>1.56</v>
      </c>
      <c r="W15">
        <f>INDEX(tblData[],MATCH(tblYoY[[#This Row],[Maand]],tblData[Maand],0),MATCH(W$3,tblData[#Headers],0))</f>
        <v>102</v>
      </c>
    </row>
    <row r="16" spans="2:23" x14ac:dyDescent="0.25">
      <c r="B16">
        <v>12</v>
      </c>
      <c r="C16" s="51">
        <f>EDATE(DtmRef,tblYoY[[#This Row],[YoY]]-12)</f>
        <v>44774</v>
      </c>
      <c r="D16">
        <f>INDEX(tblData[],MATCH(tblYoY[[#This Row],[Maand]],tblData[Maand],0),MATCH(D$3,tblData[#Headers],0))</f>
        <v>300078</v>
      </c>
      <c r="E16">
        <f>INDEX(tblData[],MATCH(tblYoY[[#This Row],[Maand]],tblData[Maand],0),MATCH(E$3,tblData[#Headers],0))</f>
        <v>266750</v>
      </c>
      <c r="F16">
        <f>INDEX(tblData[],MATCH(tblYoY[[#This Row],[Maand]],tblData[Maand],0),MATCH(F$3,tblData[#Headers],0))</f>
        <v>163579</v>
      </c>
      <c r="G16">
        <f>INDEX(tblData[],MATCH(tblYoY[[#This Row],[Maand]],tblData[Maand],0),MATCH(G$3,tblData[#Headers],0))</f>
        <v>0.13809833203985278</v>
      </c>
      <c r="H16">
        <f>INDEX(tblData[],MATCH(tblYoY[[#This Row],[Maand]],tblData[Maand],0),MATCH(H$3,tblData[#Headers],0))</f>
        <v>535</v>
      </c>
      <c r="I16">
        <f>INDEX(tblData[],MATCH(tblYoY[[#This Row],[Maand]],tblData[Maand],0),MATCH(I$3,tblData[#Headers],0))</f>
        <v>0.67</v>
      </c>
      <c r="J16">
        <f>INDEX(tblData[],MATCH(tblYoY[[#This Row],[Maand]],tblData[Maand],0),MATCH(J$3,tblData[#Headers],0))</f>
        <v>0.32</v>
      </c>
      <c r="K16">
        <f>INDEX(tblData[],MATCH(tblYoY[[#This Row],[Maand]],tblData[Maand],0),MATCH(K$3,tblData[#Headers],0))</f>
        <v>560.89345794392523</v>
      </c>
      <c r="L16">
        <f>INDEX(tblData[],MATCH(tblYoY[[#This Row],[Maand]],tblData[Maand],0),MATCH(L$3,tblData[#Headers],0))</f>
        <v>0.86499999999999999</v>
      </c>
      <c r="M16">
        <f>INDEX(tblData[],MATCH(tblYoY[[#This Row],[Maand]],tblData[Maand],0),MATCH(M$3,tblData[#Headers],0))</f>
        <v>97</v>
      </c>
      <c r="N16">
        <f>INDEX(tblData[],MATCH(tblYoY[[#This Row],[Maand]],tblData[Maand],0),MATCH(N$3,tblData[#Headers],0))</f>
        <v>291563</v>
      </c>
      <c r="O16">
        <f>INDEX(tblData[],MATCH(tblYoY[[#This Row],[Maand]],tblData[Maand],0),MATCH(O$3,tblData[#Headers],0))</f>
        <v>151529</v>
      </c>
      <c r="P16">
        <f>INDEX(tblData[],MATCH(tblYoY[[#This Row],[Maand]],tblData[Maand],0),MATCH(P$3,tblData[#Headers],0))</f>
        <v>172912</v>
      </c>
      <c r="Q16">
        <f>INDEX(tblData[],MATCH(tblYoY[[#This Row],[Maand]],tblData[Maand],0),MATCH(Q$3,tblData[#Headers],0))</f>
        <v>0.1</v>
      </c>
      <c r="R16">
        <f>INDEX(tblData[],MATCH(tblYoY[[#This Row],[Maand]],tblData[Maand],0),MATCH(R$3,tblData[#Headers],0))</f>
        <v>352</v>
      </c>
      <c r="S16">
        <f>INDEX(tblData[],MATCH(tblYoY[[#This Row],[Maand]],tblData[Maand],0),MATCH(S$3,tblData[#Headers],0))</f>
        <v>0.56000000000000005</v>
      </c>
      <c r="T16">
        <f>INDEX(tblData[],MATCH(tblYoY[[#This Row],[Maand]],tblData[Maand],0),MATCH(T$3,tblData[#Headers],0))</f>
        <v>0.2</v>
      </c>
      <c r="U16">
        <f>INDEX(tblData[],MATCH(tblYoY[[#This Row],[Maand]],tblData[Maand],0),MATCH(U$3,tblData[#Headers],0))</f>
        <v>373</v>
      </c>
      <c r="V16">
        <f>INDEX(tblData[],MATCH(tblYoY[[#This Row],[Maand]],tblData[Maand],0),MATCH(V$3,tblData[#Headers],0))</f>
        <v>1.6</v>
      </c>
      <c r="W16">
        <f>INDEX(tblData[],MATCH(tblYoY[[#This Row],[Maand]],tblData[Maand],0),MATCH(W$3,tblData[#Headers],0))</f>
        <v>100</v>
      </c>
    </row>
    <row r="18" spans="2:13" x14ac:dyDescent="0.25">
      <c r="D18" s="59"/>
    </row>
    <row r="19" spans="2:13" ht="21" x14ac:dyDescent="0.35">
      <c r="B19" s="137" t="s">
        <v>109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2:13" x14ac:dyDescent="0.25">
      <c r="B20" s="51" t="s">
        <v>72</v>
      </c>
      <c r="C20" s="51" t="s">
        <v>107</v>
      </c>
      <c r="D20" t="s">
        <v>74</v>
      </c>
      <c r="E20" t="s">
        <v>75</v>
      </c>
      <c r="F20" t="s">
        <v>76</v>
      </c>
      <c r="G20" t="s">
        <v>80</v>
      </c>
      <c r="H20" t="s">
        <v>77</v>
      </c>
      <c r="I20" t="s">
        <v>78</v>
      </c>
      <c r="J20" t="s">
        <v>79</v>
      </c>
      <c r="K20" t="s">
        <v>84</v>
      </c>
      <c r="L20" t="s">
        <v>81</v>
      </c>
      <c r="M20" t="s">
        <v>82</v>
      </c>
    </row>
    <row r="21" spans="2:13" x14ac:dyDescent="0.25">
      <c r="B21" s="52">
        <v>1</v>
      </c>
      <c r="C21" s="51" t="str">
        <f>INDEX(tblBerekOpties[Berekeningen],tblBerekOpm[[#This Row],[Nr]])</f>
        <v>Waarde deze maand</v>
      </c>
      <c r="D21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1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1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1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1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1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1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1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1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1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2" spans="2:13" x14ac:dyDescent="0.25">
      <c r="B22" s="52">
        <v>2</v>
      </c>
      <c r="C22" s="51" t="str">
        <f>INDEX(tblBerekOpties[Berekeningen],tblBerekOpm[[#This Row],[Nr]])</f>
        <v>Waarde vorige maand</v>
      </c>
      <c r="D22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2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2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2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2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2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2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2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2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2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3" spans="2:13" x14ac:dyDescent="0.25">
      <c r="B23" s="52">
        <v>3</v>
      </c>
      <c r="C23" s="51" t="str">
        <f>INDEX(tblBerekOpties[Berekeningen],tblBerekOpm[[#This Row],[Nr]])</f>
        <v>Waarde vorig jaar</v>
      </c>
      <c r="D23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3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3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3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3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3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3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3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3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3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4" spans="2:13" x14ac:dyDescent="0.25">
      <c r="B24" s="52">
        <v>4</v>
      </c>
      <c r="C24" s="51" t="str">
        <f>INDEX(tblBerekOpties[Berekeningen],tblBerekOpm[[#This Row],[Nr]])</f>
        <v>Doel deze maand</v>
      </c>
      <c r="D24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4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4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4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4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4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4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4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4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4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5" spans="2:13" x14ac:dyDescent="0.25">
      <c r="B25" s="52">
        <v>5</v>
      </c>
      <c r="C25" s="51" t="str">
        <f>INDEX(tblBerekOpties[Berekeningen],tblBerekOpm[[#This Row],[Nr]])</f>
        <v>Verandering MoM</v>
      </c>
      <c r="D25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5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5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5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5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5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5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5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5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5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6" spans="2:13" x14ac:dyDescent="0.25">
      <c r="B26" s="52">
        <v>6</v>
      </c>
      <c r="C26" s="51" t="str">
        <f>INDEX(tblBerekOpties[Berekeningen],tblBerekOpm[[#This Row],[Nr]])</f>
        <v>Verandering YoY</v>
      </c>
      <c r="D26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6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6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6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6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6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6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6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6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6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7" spans="2:13" x14ac:dyDescent="0.25">
      <c r="B27" s="52">
        <v>7</v>
      </c>
      <c r="C27" s="51" t="str">
        <f>INDEX(tblBerekOpties[Berekeningen],tblBerekOpm[[#This Row],[Nr]])</f>
        <v>% Doel</v>
      </c>
      <c r="D27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0,0%</v>
      </c>
      <c r="E27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0,0%</v>
      </c>
      <c r="F27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0,0%</v>
      </c>
      <c r="G27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0,0%</v>
      </c>
      <c r="H27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0,0%</v>
      </c>
      <c r="I27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0,0%</v>
      </c>
      <c r="J27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0,0%</v>
      </c>
      <c r="K27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0,0%</v>
      </c>
      <c r="L27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0,0%</v>
      </c>
      <c r="M27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0,0%</v>
      </c>
    </row>
    <row r="28" spans="2:13" x14ac:dyDescent="0.25">
      <c r="B28" s="52">
        <v>8</v>
      </c>
      <c r="C28" s="51" t="str">
        <f>INDEX(tblBerekOpties[Berekeningen],tblBerekOpm[[#This Row],[Nr]])</f>
        <v>3 maands gemiddelde</v>
      </c>
      <c r="D28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8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8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8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8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8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8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8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8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8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29" spans="2:13" x14ac:dyDescent="0.25">
      <c r="B29" s="52">
        <v>9</v>
      </c>
      <c r="C29" s="51" t="str">
        <f>INDEX(tblBerekOpties[Berekeningen],tblBerekOpm[[#This Row],[Nr]])</f>
        <v>6 maands gemiddelde</v>
      </c>
      <c r="D29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29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29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29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29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29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29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29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29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29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30" spans="2:13" x14ac:dyDescent="0.25">
      <c r="B30" s="52">
        <v>10</v>
      </c>
      <c r="C30" s="51" t="str">
        <f>INDEX(tblBerekOpties[Berekeningen],tblBerekOpm[[#This Row],[Nr]])</f>
        <v>Jaar gemiddelde</v>
      </c>
      <c r="D30" s="60" t="str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[$€-1809] #.##0</v>
      </c>
      <c r="E30" s="60" t="str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#.##0,0. k</v>
      </c>
      <c r="F30" s="60" t="str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[$€-1809] #.##0</v>
      </c>
      <c r="G30" s="60" t="str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0%</v>
      </c>
      <c r="H30" s="60" t="str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#.##0</v>
      </c>
      <c r="I30" s="60" t="str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0%</v>
      </c>
      <c r="J30" s="60" t="str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0%</v>
      </c>
      <c r="K30" s="60" t="str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[$€-1809] #.##0</v>
      </c>
      <c r="L30" s="60" t="str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0%</v>
      </c>
      <c r="M30" s="60" t="str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[mm]:ss</v>
      </c>
    </row>
    <row r="31" spans="2:13" x14ac:dyDescent="0.25">
      <c r="B31" s="52">
        <v>11</v>
      </c>
      <c r="C31" s="51" t="e">
        <f>INDEX(tblBerekOpties[Berekeningen],tblBerekOpm[[#This Row],[Nr]])</f>
        <v>#REF!</v>
      </c>
      <c r="D31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1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1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1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1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1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1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1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1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1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2" spans="2:13" x14ac:dyDescent="0.25">
      <c r="B32" s="52">
        <v>12</v>
      </c>
      <c r="C32" s="51" t="e">
        <f>INDEX(tblBerekOpties[Berekeningen],tblBerekOpm[[#This Row],[Nr]])</f>
        <v>#REF!</v>
      </c>
      <c r="D32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2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2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2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2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2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2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2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2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2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3" spans="2:15" x14ac:dyDescent="0.25">
      <c r="B33" s="52">
        <v>13</v>
      </c>
      <c r="C33" s="51" t="e">
        <f>INDEX(tblBerekOpties[Berekeningen],tblBerekOpm[[#This Row],[Nr]])</f>
        <v>#REF!</v>
      </c>
      <c r="D33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3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3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3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3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3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3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3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3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3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4" spans="2:15" x14ac:dyDescent="0.25">
      <c r="B34" s="52">
        <v>14</v>
      </c>
      <c r="C34" s="51" t="e">
        <f>INDEX(tblBerekOpties[Berekeningen],tblBerekOpm[[#This Row],[Nr]])</f>
        <v>#REF!</v>
      </c>
      <c r="D34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4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4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4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4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4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4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4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4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4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5" spans="2:15" x14ac:dyDescent="0.25">
      <c r="B35" s="52">
        <v>15</v>
      </c>
      <c r="C35" s="51" t="e">
        <f>INDEX(tblBerekOpties[Berekeningen],tblBerekOpm[[#This Row],[Nr]])</f>
        <v>#REF!</v>
      </c>
      <c r="D35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5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5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5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5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5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5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5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5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5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6" spans="2:15" x14ac:dyDescent="0.25">
      <c r="B36" s="52">
        <v>16</v>
      </c>
      <c r="C36" s="51" t="e">
        <f>INDEX(tblBerekOpties[Berekeningen],tblBerekOpm[[#This Row],[Nr]])</f>
        <v>#REF!</v>
      </c>
      <c r="D36" s="60" t="e">
        <f>IF(INDEX(tblBerekOpties[Opmaak],tblBerekOpm[[#This Row],[Nr]])=0,INDEX(tblOpmaak[OpmCd],MATCH(INDEX(tblDataInd[Opmaak],MATCH(tblYoY[[#Headers],[Kol1]],tblDataInd[Kolom],0)),tblOpmaak[Naam],0)),INDEX(tblOpmaak[OpmCd],MATCH(INDEX(tblBerekOpties[Opmaak],tblBerekOpm[[#This Row],[Nr]]),tblOpmaak[Naam],0)))</f>
        <v>#REF!</v>
      </c>
      <c r="E36" s="60" t="e">
        <f>IF(INDEX(tblBerekOpties[Opmaak],tblBerekOpm[[#This Row],[Nr]])=0,INDEX(tblOpmaak[OpmCd],MATCH(INDEX(tblDataInd[Opmaak],MATCH(tblYoY[[#Headers],[Kol2]],tblDataInd[Kolom],0)),tblOpmaak[Naam],0)),INDEX(tblOpmaak[OpmCd],MATCH(INDEX(tblBerekOpties[Opmaak],tblBerekOpm[[#This Row],[Nr]]),tblOpmaak[Naam],0)))</f>
        <v>#REF!</v>
      </c>
      <c r="F36" s="60" t="e">
        <f>IF(INDEX(tblBerekOpties[Opmaak],tblBerekOpm[[#This Row],[Nr]])=0,INDEX(tblOpmaak[OpmCd],MATCH(INDEX(tblDataInd[Opmaak],MATCH(tblYoY[[#Headers],[Kol3]],tblDataInd[Kolom],0)),tblOpmaak[Naam],0)),INDEX(tblOpmaak[OpmCd],MATCH(INDEX(tblBerekOpties[Opmaak],tblBerekOpm[[#This Row],[Nr]]),tblOpmaak[Naam],0)))</f>
        <v>#REF!</v>
      </c>
      <c r="G36" s="60" t="e">
        <f>IF(INDEX(tblBerekOpties[Opmaak],tblBerekOpm[[#This Row],[Nr]])=0,INDEX(tblOpmaak[OpmCd],MATCH(INDEX(tblDataInd[Opmaak],MATCH(tblYoY[[#Headers],[Kol4]],tblDataInd[Kolom],0)),tblOpmaak[Naam],0)),INDEX(tblOpmaak[OpmCd],MATCH(INDEX(tblBerekOpties[Opmaak],tblBerekOpm[[#This Row],[Nr]]),tblOpmaak[Naam],0)))</f>
        <v>#REF!</v>
      </c>
      <c r="H36" s="60" t="e">
        <f>IF(INDEX(tblBerekOpties[Opmaak],tblBerekOpm[[#This Row],[Nr]])=0,INDEX(tblOpmaak[OpmCd],MATCH(INDEX(tblDataInd[Opmaak],MATCH(tblYoY[[#Headers],[Kol5]],tblDataInd[Kolom],0)),tblOpmaak[Naam],0)),INDEX(tblOpmaak[OpmCd],MATCH(INDEX(tblBerekOpties[Opmaak],tblBerekOpm[[#This Row],[Nr]]),tblOpmaak[Naam],0)))</f>
        <v>#REF!</v>
      </c>
      <c r="I36" s="60" t="e">
        <f>IF(INDEX(tblBerekOpties[Opmaak],tblBerekOpm[[#This Row],[Nr]])=0,INDEX(tblOpmaak[OpmCd],MATCH(INDEX(tblDataInd[Opmaak],MATCH(tblYoY[[#Headers],[Kol6]],tblDataInd[Kolom],0)),tblOpmaak[Naam],0)),INDEX(tblOpmaak[OpmCd],MATCH(INDEX(tblBerekOpties[Opmaak],tblBerekOpm[[#This Row],[Nr]]),tblOpmaak[Naam],0)))</f>
        <v>#REF!</v>
      </c>
      <c r="J36" s="60" t="e">
        <f>IF(INDEX(tblBerekOpties[Opmaak],tblBerekOpm[[#This Row],[Nr]])=0,INDEX(tblOpmaak[OpmCd],MATCH(INDEX(tblDataInd[Opmaak],MATCH(tblYoY[[#Headers],[Kol7]],tblDataInd[Kolom],0)),tblOpmaak[Naam],0)),INDEX(tblOpmaak[OpmCd],MATCH(INDEX(tblBerekOpties[Opmaak],tblBerekOpm[[#This Row],[Nr]]),tblOpmaak[Naam],0)))</f>
        <v>#REF!</v>
      </c>
      <c r="K36" s="60" t="e">
        <f>IF(INDEX(tblBerekOpties[Opmaak],tblBerekOpm[[#This Row],[Nr]])=0,INDEX(tblOpmaak[OpmCd],MATCH(INDEX(tblDataInd[Opmaak],MATCH(tblYoY[[#Headers],[Kol8]],tblDataInd[Kolom],0)),tblOpmaak[Naam],0)),INDEX(tblOpmaak[OpmCd],MATCH(INDEX(tblBerekOpties[Opmaak],tblBerekOpm[[#This Row],[Nr]]),tblOpmaak[Naam],0)))</f>
        <v>#REF!</v>
      </c>
      <c r="L36" s="60" t="e">
        <f>IF(INDEX(tblBerekOpties[Opmaak],tblBerekOpm[[#This Row],[Nr]])=0,INDEX(tblOpmaak[OpmCd],MATCH(INDEX(tblDataInd[Opmaak],MATCH(tblYoY[[#Headers],[Kol9]],tblDataInd[Kolom],0)),tblOpmaak[Naam],0)),INDEX(tblOpmaak[OpmCd],MATCH(INDEX(tblBerekOpties[Opmaak],tblBerekOpm[[#This Row],[Nr]]),tblOpmaak[Naam],0)))</f>
        <v>#REF!</v>
      </c>
      <c r="M36" s="60" t="e">
        <f>IF(INDEX(tblBerekOpties[Opmaak],tblBerekOpm[[#This Row],[Nr]])=0,INDEX(tblOpmaak[OpmCd],MATCH(INDEX(tblDataInd[Opmaak],MATCH(tblYoY[[#Headers],[Kol10]],tblDataInd[Kolom],0)),tblOpmaak[Naam],0)),INDEX(tblOpmaak[OpmCd],MATCH(INDEX(tblBerekOpties[Opmaak],tblBerekOpm[[#This Row],[Nr]]),tblOpmaak[Naam],0)))</f>
        <v>#REF!</v>
      </c>
    </row>
    <row r="39" spans="2:15" ht="21" x14ac:dyDescent="0.35">
      <c r="B39" s="137" t="s">
        <v>88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</row>
    <row r="40" spans="2:15" x14ac:dyDescent="0.25">
      <c r="B40" s="51" t="s">
        <v>72</v>
      </c>
      <c r="C40" s="51" t="s">
        <v>107</v>
      </c>
      <c r="D40" t="s">
        <v>74</v>
      </c>
      <c r="E40" t="s">
        <v>75</v>
      </c>
      <c r="F40" t="s">
        <v>76</v>
      </c>
      <c r="G40" t="s">
        <v>80</v>
      </c>
      <c r="H40" t="s">
        <v>77</v>
      </c>
      <c r="I40" t="s">
        <v>78</v>
      </c>
      <c r="J40" t="s">
        <v>79</v>
      </c>
      <c r="K40" t="s">
        <v>84</v>
      </c>
      <c r="L40" t="s">
        <v>81</v>
      </c>
      <c r="M40" t="s">
        <v>82</v>
      </c>
    </row>
    <row r="41" spans="2:15" x14ac:dyDescent="0.25">
      <c r="B41" s="52">
        <v>1</v>
      </c>
      <c r="C41" s="51" t="str">
        <f>INDEX(tblBerekOpties[Berekeningen],tblBerek[[#This Row],[Nr]])</f>
        <v>Waarde deze maand</v>
      </c>
      <c r="D41" s="60">
        <f>D16</f>
        <v>300078</v>
      </c>
      <c r="E41" s="60">
        <f t="shared" ref="E41:L41" si="0">E16</f>
        <v>266750</v>
      </c>
      <c r="F41" s="60">
        <f t="shared" si="0"/>
        <v>163579</v>
      </c>
      <c r="G41" s="60">
        <f t="shared" si="0"/>
        <v>0.13809833203985278</v>
      </c>
      <c r="H41" s="60">
        <f t="shared" si="0"/>
        <v>535</v>
      </c>
      <c r="I41" s="60">
        <f t="shared" si="0"/>
        <v>0.67</v>
      </c>
      <c r="J41" s="60">
        <f t="shared" si="0"/>
        <v>0.32</v>
      </c>
      <c r="K41" s="60">
        <f t="shared" si="0"/>
        <v>560.89345794392523</v>
      </c>
      <c r="L41" s="60">
        <f t="shared" si="0"/>
        <v>0.86499999999999999</v>
      </c>
      <c r="M41" s="60">
        <f>M16*VanSecNaarDg</f>
        <v>1.1226851851851851E-3</v>
      </c>
    </row>
    <row r="42" spans="2:15" x14ac:dyDescent="0.25">
      <c r="B42" s="52">
        <v>2</v>
      </c>
      <c r="C42" s="51" t="str">
        <f>INDEX(tblBerekOpties[Berekeningen],tblBerek[[#This Row],[Nr]])</f>
        <v>Waarde vorige maand</v>
      </c>
      <c r="D42" s="60">
        <f>D15</f>
        <v>304823</v>
      </c>
      <c r="E42" s="60">
        <f t="shared" ref="E42:L42" si="1">E15</f>
        <v>266424</v>
      </c>
      <c r="F42" s="60">
        <f t="shared" si="1"/>
        <v>159289</v>
      </c>
      <c r="G42" s="60">
        <f t="shared" si="1"/>
        <v>0.1460782000652685</v>
      </c>
      <c r="H42" s="60">
        <f t="shared" si="1"/>
        <v>536</v>
      </c>
      <c r="I42" s="60">
        <f t="shared" si="1"/>
        <v>0.67</v>
      </c>
      <c r="J42" s="60">
        <f t="shared" si="1"/>
        <v>0.32</v>
      </c>
      <c r="K42" s="60">
        <f t="shared" si="1"/>
        <v>568.69962686567169</v>
      </c>
      <c r="L42" s="60">
        <f t="shared" si="1"/>
        <v>0.86499999999999999</v>
      </c>
      <c r="M42" s="60">
        <f>M15*VanSecNaarDg</f>
        <v>1.1574074074074073E-3</v>
      </c>
    </row>
    <row r="43" spans="2:15" x14ac:dyDescent="0.25">
      <c r="B43" s="52">
        <v>3</v>
      </c>
      <c r="C43" s="51" t="str">
        <f>INDEX(tblBerekOpties[Berekeningen],tblBerek[[#This Row],[Nr]])</f>
        <v>Waarde vorig jaar</v>
      </c>
      <c r="D43" s="60">
        <f>D4</f>
        <v>312379</v>
      </c>
      <c r="E43" s="60">
        <f t="shared" ref="E43:L43" si="2">E4</f>
        <v>194330</v>
      </c>
      <c r="F43" s="60">
        <f t="shared" si="2"/>
        <v>86283</v>
      </c>
      <c r="G43" s="60">
        <f t="shared" si="2"/>
        <v>0.37790312408964749</v>
      </c>
      <c r="H43" s="60">
        <f t="shared" si="2"/>
        <v>406</v>
      </c>
      <c r="I43" s="60">
        <f t="shared" si="2"/>
        <v>0.62</v>
      </c>
      <c r="J43" s="60">
        <f t="shared" si="2"/>
        <v>0.38</v>
      </c>
      <c r="K43" s="60">
        <f t="shared" si="2"/>
        <v>769.40640394088666</v>
      </c>
      <c r="L43" s="60">
        <f t="shared" si="2"/>
        <v>0.75700000000000001</v>
      </c>
      <c r="M43" s="60">
        <f>M4*VanSecNaarDg</f>
        <v>8.1018518518518516E-4</v>
      </c>
    </row>
    <row r="44" spans="2:15" x14ac:dyDescent="0.25">
      <c r="B44" s="52">
        <v>4</v>
      </c>
      <c r="C44" s="51" t="str">
        <f>INDEX(tblBerekOpties[Berekeningen],tblBerek[[#This Row],[Nr]])</f>
        <v>Doel deze maand</v>
      </c>
      <c r="D44" s="60">
        <f>N16</f>
        <v>291563</v>
      </c>
      <c r="E44" s="60">
        <f t="shared" ref="E44:L44" si="3">O16</f>
        <v>151529</v>
      </c>
      <c r="F44" s="60">
        <f t="shared" si="3"/>
        <v>172912</v>
      </c>
      <c r="G44" s="60">
        <f t="shared" si="3"/>
        <v>0.1</v>
      </c>
      <c r="H44" s="60">
        <f t="shared" si="3"/>
        <v>352</v>
      </c>
      <c r="I44" s="60">
        <f t="shared" si="3"/>
        <v>0.56000000000000005</v>
      </c>
      <c r="J44" s="60">
        <f t="shared" si="3"/>
        <v>0.2</v>
      </c>
      <c r="K44" s="60">
        <f t="shared" si="3"/>
        <v>373</v>
      </c>
      <c r="L44" s="60">
        <f t="shared" si="3"/>
        <v>1.6</v>
      </c>
      <c r="M44" s="60">
        <f>W16*VanSecNaarDg</f>
        <v>1.1574074074074073E-3</v>
      </c>
    </row>
    <row r="45" spans="2:15" x14ac:dyDescent="0.25">
      <c r="B45" s="52">
        <v>5</v>
      </c>
      <c r="C45" s="51" t="str">
        <f>INDEX(tblBerekOpties[Berekeningen],tblBerek[[#This Row],[Nr]])</f>
        <v>Verandering MoM</v>
      </c>
      <c r="D45" s="60">
        <f>D41-D42</f>
        <v>-4745</v>
      </c>
      <c r="E45" s="60">
        <f t="shared" ref="E45:L45" si="4">E41-E42</f>
        <v>326</v>
      </c>
      <c r="F45" s="60">
        <f t="shared" si="4"/>
        <v>4290</v>
      </c>
      <c r="G45" s="60">
        <f t="shared" si="4"/>
        <v>-7.9798680254157262E-3</v>
      </c>
      <c r="H45" s="60">
        <f t="shared" si="4"/>
        <v>-1</v>
      </c>
      <c r="I45" s="60">
        <f t="shared" si="4"/>
        <v>0</v>
      </c>
      <c r="J45" s="60">
        <f t="shared" si="4"/>
        <v>0</v>
      </c>
      <c r="K45" s="60">
        <f t="shared" si="4"/>
        <v>-7.8061689217464618</v>
      </c>
      <c r="L45" s="60">
        <f t="shared" si="4"/>
        <v>0</v>
      </c>
      <c r="M45" s="60">
        <f>(M41-M42)*VanSecNaarDg</f>
        <v>-4.0187757201646098E-10</v>
      </c>
      <c r="O45" s="64"/>
    </row>
    <row r="46" spans="2:15" x14ac:dyDescent="0.25">
      <c r="B46" s="52">
        <v>6</v>
      </c>
      <c r="C46" s="51" t="str">
        <f>INDEX(tblBerekOpties[Berekeningen],tblBerek[[#This Row],[Nr]])</f>
        <v>Verandering YoY</v>
      </c>
      <c r="D46" s="60">
        <f>D41-D43</f>
        <v>-12301</v>
      </c>
      <c r="E46" s="60">
        <f t="shared" ref="E46:L46" si="5">E41-E43</f>
        <v>72420</v>
      </c>
      <c r="F46" s="60">
        <f t="shared" si="5"/>
        <v>77296</v>
      </c>
      <c r="G46" s="60">
        <f t="shared" si="5"/>
        <v>-0.23980479204979471</v>
      </c>
      <c r="H46" s="60">
        <f t="shared" si="5"/>
        <v>129</v>
      </c>
      <c r="I46" s="60">
        <f t="shared" si="5"/>
        <v>5.0000000000000044E-2</v>
      </c>
      <c r="J46" s="60">
        <f t="shared" si="5"/>
        <v>-0.06</v>
      </c>
      <c r="K46" s="60">
        <f t="shared" si="5"/>
        <v>-208.51294599696143</v>
      </c>
      <c r="L46" s="60">
        <f t="shared" si="5"/>
        <v>0.10799999999999998</v>
      </c>
      <c r="M46" s="60">
        <f>(M41-M43)*VanSecNaarDg</f>
        <v>3.6168981481481474E-9</v>
      </c>
    </row>
    <row r="47" spans="2:15" x14ac:dyDescent="0.25">
      <c r="B47" s="52">
        <v>7</v>
      </c>
      <c r="C47" s="51" t="str">
        <f>INDEX(tblBerekOpties[Berekeningen],tblBerek[[#This Row],[Nr]])</f>
        <v>% Doel</v>
      </c>
      <c r="D47" s="60">
        <f>D41/D44</f>
        <v>1.0292046658869609</v>
      </c>
      <c r="E47" s="60">
        <f t="shared" ref="E47:L47" si="6">E41/E44</f>
        <v>1.7603891004362202</v>
      </c>
      <c r="F47" s="60">
        <f t="shared" si="6"/>
        <v>0.94602456741001206</v>
      </c>
      <c r="G47" s="60">
        <f t="shared" si="6"/>
        <v>1.3809833203985278</v>
      </c>
      <c r="H47" s="60">
        <f t="shared" si="6"/>
        <v>1.5198863636363635</v>
      </c>
      <c r="I47" s="60">
        <f t="shared" si="6"/>
        <v>1.1964285714285714</v>
      </c>
      <c r="J47" s="60">
        <f t="shared" si="6"/>
        <v>1.5999999999999999</v>
      </c>
      <c r="K47" s="60">
        <f t="shared" si="6"/>
        <v>1.5037358121821052</v>
      </c>
      <c r="L47" s="60">
        <f t="shared" si="6"/>
        <v>0.54062499999999991</v>
      </c>
      <c r="M47" s="60">
        <f>M41/M44</f>
        <v>0.97</v>
      </c>
    </row>
    <row r="48" spans="2:15" x14ac:dyDescent="0.25">
      <c r="B48" s="52">
        <v>8</v>
      </c>
      <c r="C48" s="51" t="str">
        <f>INDEX(tblBerekOpties[Berekeningen],tblBerek[[#This Row],[Nr]])</f>
        <v>3 maands gemiddelde</v>
      </c>
      <c r="D48" s="60">
        <f ca="1">AVERAGE(OFFSET(D16,-2,0,3,1))</f>
        <v>301939</v>
      </c>
      <c r="E48" s="60">
        <f t="shared" ref="E48:L48" ca="1" si="7">AVERAGE(OFFSET(E16,-2,0,3,1))</f>
        <v>263191.66666666669</v>
      </c>
      <c r="F48" s="60">
        <f t="shared" ca="1" si="7"/>
        <v>160624.66666666666</v>
      </c>
      <c r="G48" s="60">
        <f t="shared" ca="1" si="7"/>
        <v>0.14599239503273687</v>
      </c>
      <c r="H48" s="60">
        <f t="shared" ca="1" si="7"/>
        <v>536</v>
      </c>
      <c r="I48" s="60">
        <f t="shared" ca="1" si="7"/>
        <v>0.66666666666666663</v>
      </c>
      <c r="J48" s="60">
        <f t="shared" ca="1" si="7"/>
        <v>0.32333333333333331</v>
      </c>
      <c r="K48" s="60">
        <f t="shared" ca="1" si="7"/>
        <v>563.31935849953663</v>
      </c>
      <c r="L48" s="60">
        <f t="shared" ca="1" si="7"/>
        <v>0.86499999999999988</v>
      </c>
      <c r="M48" s="60">
        <f ca="1">AVERAGE(OFFSET(M16,-2,0,3,1))*VanSecNaarDg</f>
        <v>1.1574074074074073E-3</v>
      </c>
    </row>
    <row r="49" spans="2:13" x14ac:dyDescent="0.25">
      <c r="B49" s="52">
        <v>9</v>
      </c>
      <c r="C49" s="51" t="str">
        <f>INDEX(tblBerekOpties[Berekeningen],tblBerek[[#This Row],[Nr]])</f>
        <v>6 maands gemiddelde</v>
      </c>
      <c r="D49" s="60">
        <f ca="1">AVERAGE(OFFSET(D16,-5,0,6,1))</f>
        <v>301242.83333333331</v>
      </c>
      <c r="E49" s="60">
        <f t="shared" ref="E49:L49" ca="1" si="8">AVERAGE(OFFSET(E16,-5,0,6,1))</f>
        <v>257532.33333333334</v>
      </c>
      <c r="F49" s="60">
        <f t="shared" ca="1" si="8"/>
        <v>160117.66666666666</v>
      </c>
      <c r="G49" s="60">
        <f t="shared" ca="1" si="8"/>
        <v>0.1577905870057966</v>
      </c>
      <c r="H49" s="60">
        <f t="shared" ca="1" si="8"/>
        <v>537.5</v>
      </c>
      <c r="I49" s="60">
        <f t="shared" ca="1" si="8"/>
        <v>0.65666666666666662</v>
      </c>
      <c r="J49" s="60">
        <f t="shared" ca="1" si="8"/>
        <v>0.33333333333333331</v>
      </c>
      <c r="K49" s="60">
        <f t="shared" ca="1" si="8"/>
        <v>560.46268153913979</v>
      </c>
      <c r="L49" s="60">
        <f t="shared" ca="1" si="8"/>
        <v>0.86550000000000005</v>
      </c>
      <c r="M49" s="60">
        <f ca="1">AVERAGE(OFFSET(M16,-5,0,6,1))*VanSecNaarDg</f>
        <v>1.2152777777777778E-3</v>
      </c>
    </row>
    <row r="50" spans="2:13" x14ac:dyDescent="0.25">
      <c r="B50" s="52">
        <v>10</v>
      </c>
      <c r="C50" s="51" t="str">
        <f>INDEX(tblBerekOpties[Berekeningen],tblBerek[[#This Row],[Nr]])</f>
        <v>Jaar gemiddelde</v>
      </c>
      <c r="D50" s="60">
        <f ca="1">AVERAGE(OFFSET(D16,-11,0,12,1))</f>
        <v>303768.83333333331</v>
      </c>
      <c r="E50" s="60">
        <f t="shared" ref="E50:L50" ca="1" si="9">AVERAGE(OFFSET(E16,-11,0,12,1))</f>
        <v>255003.5</v>
      </c>
      <c r="F50" s="60">
        <f t="shared" ca="1" si="9"/>
        <v>163373.5</v>
      </c>
      <c r="G50" s="60">
        <f t="shared" ca="1" si="9"/>
        <v>0.16917975658395948</v>
      </c>
      <c r="H50" s="60">
        <f t="shared" ca="1" si="9"/>
        <v>551.58333333333337</v>
      </c>
      <c r="I50" s="60">
        <f t="shared" ca="1" si="9"/>
        <v>0.63416666666666677</v>
      </c>
      <c r="J50" s="60">
        <f t="shared" ca="1" si="9"/>
        <v>0.35749999999999998</v>
      </c>
      <c r="K50" s="60">
        <f t="shared" ca="1" si="9"/>
        <v>552.16537751710837</v>
      </c>
      <c r="L50" s="60">
        <f t="shared" ca="1" si="9"/>
        <v>0.8650833333333332</v>
      </c>
      <c r="M50" s="60">
        <f ca="1">AVERAGE(OFFSET(M16,-11,0,12,1))*VanSecNaarDg</f>
        <v>1.4708719135802467E-3</v>
      </c>
    </row>
    <row r="51" spans="2:13" x14ac:dyDescent="0.25">
      <c r="B51" s="52">
        <v>11</v>
      </c>
      <c r="C51" s="51" t="e">
        <f>INDEX(tblBerekOpties[Berekeningen],tblBerek[[#This Row],[Nr]])</f>
        <v>#REF!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x14ac:dyDescent="0.25">
      <c r="B52" s="52">
        <v>12</v>
      </c>
      <c r="C52" s="51" t="e">
        <f>INDEX(tblBerekOpties[Berekeningen],tblBerek[[#This Row],[Nr]])</f>
        <v>#REF!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2:13" x14ac:dyDescent="0.25">
      <c r="B53" s="52">
        <v>13</v>
      </c>
      <c r="C53" s="51" t="e">
        <f>INDEX(tblBerekOpties[Berekeningen],tblBerek[[#This Row],[Nr]])</f>
        <v>#REF!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2:13" x14ac:dyDescent="0.25">
      <c r="B54" s="52">
        <v>14</v>
      </c>
      <c r="C54" s="51" t="e">
        <f>INDEX(tblBerekOpties[Berekeningen],tblBerek[[#This Row],[Nr]])</f>
        <v>#REF!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2:13" x14ac:dyDescent="0.25">
      <c r="B55" s="52">
        <v>15</v>
      </c>
      <c r="C55" s="51" t="e">
        <f>INDEX(tblBerekOpties[Berekeningen],tblBerek[[#This Row],[Nr]])</f>
        <v>#REF!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2:13" x14ac:dyDescent="0.25">
      <c r="B56" s="52">
        <v>16</v>
      </c>
      <c r="C56" s="51" t="e">
        <f>INDEX(tblBerekOpties[Berekeningen],tblBerek[[#This Row],[Nr]])</f>
        <v>#REF!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9" spans="2:13" ht="21" x14ac:dyDescent="0.35">
      <c r="B59" s="137" t="s">
        <v>110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2:13" x14ac:dyDescent="0.25">
      <c r="B60" s="51" t="s">
        <v>72</v>
      </c>
      <c r="C60" s="51" t="s">
        <v>107</v>
      </c>
      <c r="D60" t="s">
        <v>74</v>
      </c>
      <c r="E60" t="s">
        <v>75</v>
      </c>
      <c r="F60" t="s">
        <v>76</v>
      </c>
      <c r="G60" t="s">
        <v>80</v>
      </c>
      <c r="H60" t="s">
        <v>77</v>
      </c>
      <c r="I60" t="s">
        <v>78</v>
      </c>
      <c r="J60" t="s">
        <v>79</v>
      </c>
      <c r="K60" t="s">
        <v>84</v>
      </c>
      <c r="L60" t="s">
        <v>81</v>
      </c>
      <c r="M60" t="s">
        <v>82</v>
      </c>
    </row>
    <row r="61" spans="2:13" x14ac:dyDescent="0.25">
      <c r="B61" s="52">
        <v>1</v>
      </c>
      <c r="C61" s="51" t="str">
        <f>INDEX(tblBerekOpties[Berekeningen],tblBerekPlusOpm[[#This Row],[Nr]])</f>
        <v>Waarde deze maand</v>
      </c>
      <c r="D61" s="60" t="str">
        <f t="shared" ref="D61:J61" si="10">IFERROR(TEXT(D41,D21),0)</f>
        <v>€ 300.078</v>
      </c>
      <c r="E61" s="60" t="str">
        <f t="shared" si="10"/>
        <v>266,8 k</v>
      </c>
      <c r="F61" s="60" t="str">
        <f t="shared" si="10"/>
        <v>€ 163.579</v>
      </c>
      <c r="G61" s="60" t="str">
        <f t="shared" si="10"/>
        <v>14%</v>
      </c>
      <c r="H61" s="60" t="str">
        <f t="shared" si="10"/>
        <v>535</v>
      </c>
      <c r="I61" s="60" t="str">
        <f t="shared" si="10"/>
        <v>67%</v>
      </c>
      <c r="J61" s="60" t="str">
        <f t="shared" si="10"/>
        <v>32%</v>
      </c>
      <c r="K61" s="60" t="str">
        <f>IFERROR(TEXT(K41,K21),0)</f>
        <v>€ 561</v>
      </c>
      <c r="L61" s="60" t="str">
        <f>IFERROR(TEXT(L41,L21),0)</f>
        <v>87%</v>
      </c>
      <c r="M61" s="60" t="str">
        <f>IFERROR(TEXT(M41,M21),0)</f>
        <v>01:37</v>
      </c>
    </row>
    <row r="62" spans="2:13" x14ac:dyDescent="0.25">
      <c r="B62" s="52">
        <v>2</v>
      </c>
      <c r="C62" s="51" t="str">
        <f>INDEX(tblBerekOpties[Berekeningen],tblBerekPlusOpm[[#This Row],[Nr]])</f>
        <v>Waarde vorige maand</v>
      </c>
      <c r="D62" s="60" t="str">
        <f t="shared" ref="D62:J62" si="11">IFERROR(TEXT(D42,D22),0)</f>
        <v>€ 304.823</v>
      </c>
      <c r="E62" s="60" t="str">
        <f t="shared" si="11"/>
        <v>266,4 k</v>
      </c>
      <c r="F62" s="60" t="str">
        <f t="shared" si="11"/>
        <v>€ 159.289</v>
      </c>
      <c r="G62" s="60" t="str">
        <f t="shared" si="11"/>
        <v>15%</v>
      </c>
      <c r="H62" s="60" t="str">
        <f t="shared" si="11"/>
        <v>536</v>
      </c>
      <c r="I62" s="60" t="str">
        <f t="shared" si="11"/>
        <v>67%</v>
      </c>
      <c r="J62" s="60" t="str">
        <f t="shared" si="11"/>
        <v>32%</v>
      </c>
      <c r="K62" s="60" t="str">
        <f t="shared" ref="K62:L70" si="12">IFERROR(TEXT(K42,K22),0)</f>
        <v>€ 569</v>
      </c>
      <c r="L62" s="60" t="str">
        <f t="shared" si="12"/>
        <v>87%</v>
      </c>
      <c r="M62" s="60" t="str">
        <f t="shared" ref="M62:M70" si="13">IFERROR(TEXT(M42,M22),0)</f>
        <v>01:40</v>
      </c>
    </row>
    <row r="63" spans="2:13" x14ac:dyDescent="0.25">
      <c r="B63" s="52">
        <v>3</v>
      </c>
      <c r="C63" s="51" t="str">
        <f>INDEX(tblBerekOpties[Berekeningen],tblBerekPlusOpm[[#This Row],[Nr]])</f>
        <v>Waarde vorig jaar</v>
      </c>
      <c r="D63" s="60" t="str">
        <f t="shared" ref="D63:J63" si="14">IFERROR(TEXT(D43,D23),0)</f>
        <v>€ 312.379</v>
      </c>
      <c r="E63" s="60" t="str">
        <f t="shared" si="14"/>
        <v>194,3 k</v>
      </c>
      <c r="F63" s="60" t="str">
        <f t="shared" si="14"/>
        <v>€ 86.283</v>
      </c>
      <c r="G63" s="60" t="str">
        <f t="shared" si="14"/>
        <v>38%</v>
      </c>
      <c r="H63" s="60" t="str">
        <f t="shared" si="14"/>
        <v>406</v>
      </c>
      <c r="I63" s="60" t="str">
        <f t="shared" si="14"/>
        <v>62%</v>
      </c>
      <c r="J63" s="60" t="str">
        <f t="shared" si="14"/>
        <v>38%</v>
      </c>
      <c r="K63" s="60" t="str">
        <f t="shared" si="12"/>
        <v>€ 769</v>
      </c>
      <c r="L63" s="60" t="str">
        <f t="shared" si="12"/>
        <v>76%</v>
      </c>
      <c r="M63" s="60" t="str">
        <f t="shared" si="13"/>
        <v>01:10</v>
      </c>
    </row>
    <row r="64" spans="2:13" x14ac:dyDescent="0.25">
      <c r="B64" s="52">
        <v>4</v>
      </c>
      <c r="C64" s="51" t="str">
        <f>INDEX(tblBerekOpties[Berekeningen],tblBerekPlusOpm[[#This Row],[Nr]])</f>
        <v>Doel deze maand</v>
      </c>
      <c r="D64" s="60" t="str">
        <f t="shared" ref="D64:J64" si="15">IFERROR(TEXT(D44,D24),0)</f>
        <v>€ 291.563</v>
      </c>
      <c r="E64" s="60" t="str">
        <f t="shared" si="15"/>
        <v>151,5 k</v>
      </c>
      <c r="F64" s="60" t="str">
        <f t="shared" si="15"/>
        <v>€ 172.912</v>
      </c>
      <c r="G64" s="60" t="str">
        <f t="shared" si="15"/>
        <v>10%</v>
      </c>
      <c r="H64" s="60" t="str">
        <f t="shared" si="15"/>
        <v>352</v>
      </c>
      <c r="I64" s="60" t="str">
        <f t="shared" si="15"/>
        <v>56%</v>
      </c>
      <c r="J64" s="60" t="str">
        <f t="shared" si="15"/>
        <v>20%</v>
      </c>
      <c r="K64" s="60" t="str">
        <f t="shared" si="12"/>
        <v>€ 373</v>
      </c>
      <c r="L64" s="60" t="str">
        <f t="shared" si="12"/>
        <v>160%</v>
      </c>
      <c r="M64" s="60" t="str">
        <f t="shared" si="13"/>
        <v>01:40</v>
      </c>
    </row>
    <row r="65" spans="2:13" x14ac:dyDescent="0.25">
      <c r="B65" s="52">
        <v>5</v>
      </c>
      <c r="C65" s="51" t="str">
        <f>INDEX(tblBerekOpties[Berekeningen],tblBerekPlusOpm[[#This Row],[Nr]])</f>
        <v>Verandering MoM</v>
      </c>
      <c r="D65" s="60" t="str">
        <f t="shared" ref="D65:J65" si="16">IFERROR(TEXT(D45,D25),0)</f>
        <v>-€ 4.745</v>
      </c>
      <c r="E65" s="60" t="str">
        <f t="shared" si="16"/>
        <v>0,3 k</v>
      </c>
      <c r="F65" s="60" t="str">
        <f t="shared" si="16"/>
        <v>€ 4.290</v>
      </c>
      <c r="G65" s="60" t="str">
        <f t="shared" si="16"/>
        <v>-1%</v>
      </c>
      <c r="H65" s="60" t="str">
        <f t="shared" si="16"/>
        <v>-1</v>
      </c>
      <c r="I65" s="60" t="str">
        <f t="shared" si="16"/>
        <v>0%</v>
      </c>
      <c r="J65" s="60" t="str">
        <f t="shared" si="16"/>
        <v>0%</v>
      </c>
      <c r="K65" s="60" t="str">
        <f t="shared" si="12"/>
        <v>-€ 8</v>
      </c>
      <c r="L65" s="60" t="str">
        <f t="shared" si="12"/>
        <v>0%</v>
      </c>
      <c r="M65" s="60">
        <f t="shared" si="13"/>
        <v>0</v>
      </c>
    </row>
    <row r="66" spans="2:13" x14ac:dyDescent="0.25">
      <c r="B66" s="52">
        <v>6</v>
      </c>
      <c r="C66" s="51" t="str">
        <f>INDEX(tblBerekOpties[Berekeningen],tblBerekPlusOpm[[#This Row],[Nr]])</f>
        <v>Verandering YoY</v>
      </c>
      <c r="D66" s="60" t="str">
        <f t="shared" ref="D66:J66" si="17">IFERROR(TEXT(D46,D26),0)</f>
        <v>-€ 12.301</v>
      </c>
      <c r="E66" s="60" t="str">
        <f t="shared" si="17"/>
        <v>72,4 k</v>
      </c>
      <c r="F66" s="60" t="str">
        <f t="shared" si="17"/>
        <v>€ 77.296</v>
      </c>
      <c r="G66" s="60" t="str">
        <f t="shared" si="17"/>
        <v>-24%</v>
      </c>
      <c r="H66" s="60" t="str">
        <f t="shared" si="17"/>
        <v>129</v>
      </c>
      <c r="I66" s="60" t="str">
        <f t="shared" si="17"/>
        <v>5%</v>
      </c>
      <c r="J66" s="60" t="str">
        <f t="shared" si="17"/>
        <v>-6%</v>
      </c>
      <c r="K66" s="60" t="str">
        <f t="shared" si="12"/>
        <v>-€ 209</v>
      </c>
      <c r="L66" s="60" t="str">
        <f t="shared" si="12"/>
        <v>11%</v>
      </c>
      <c r="M66" s="60" t="str">
        <f t="shared" si="13"/>
        <v>00:00</v>
      </c>
    </row>
    <row r="67" spans="2:13" x14ac:dyDescent="0.25">
      <c r="B67" s="52">
        <v>7</v>
      </c>
      <c r="C67" s="51" t="str">
        <f>INDEX(tblBerekOpties[Berekeningen],tblBerekPlusOpm[[#This Row],[Nr]])</f>
        <v>% Doel</v>
      </c>
      <c r="D67" s="60" t="str">
        <f t="shared" ref="D67:J67" si="18">IFERROR(TEXT(D47,D27),0)</f>
        <v>102,9%</v>
      </c>
      <c r="E67" s="60" t="str">
        <f t="shared" si="18"/>
        <v>176,0%</v>
      </c>
      <c r="F67" s="60" t="str">
        <f t="shared" si="18"/>
        <v>94,6%</v>
      </c>
      <c r="G67" s="60" t="str">
        <f t="shared" si="18"/>
        <v>138,1%</v>
      </c>
      <c r="H67" s="60" t="str">
        <f t="shared" si="18"/>
        <v>152,0%</v>
      </c>
      <c r="I67" s="60" t="str">
        <f t="shared" si="18"/>
        <v>119,6%</v>
      </c>
      <c r="J67" s="60" t="str">
        <f t="shared" si="18"/>
        <v>160,0%</v>
      </c>
      <c r="K67" s="60" t="str">
        <f t="shared" si="12"/>
        <v>150,4%</v>
      </c>
      <c r="L67" s="60" t="str">
        <f t="shared" si="12"/>
        <v>54,1%</v>
      </c>
      <c r="M67" s="60" t="str">
        <f t="shared" si="13"/>
        <v>97,0%</v>
      </c>
    </row>
    <row r="68" spans="2:13" x14ac:dyDescent="0.25">
      <c r="B68" s="52">
        <v>8</v>
      </c>
      <c r="C68" s="51" t="str">
        <f>INDEX(tblBerekOpties[Berekeningen],tblBerekPlusOpm[[#This Row],[Nr]])</f>
        <v>3 maands gemiddelde</v>
      </c>
      <c r="D68" s="60" t="str">
        <f t="shared" ref="D68:J68" ca="1" si="19">IFERROR(TEXT(D48,D28),0)</f>
        <v>€ 301.939</v>
      </c>
      <c r="E68" s="60" t="str">
        <f t="shared" ca="1" si="19"/>
        <v>263,2 k</v>
      </c>
      <c r="F68" s="60" t="str">
        <f t="shared" ca="1" si="19"/>
        <v>€ 160.625</v>
      </c>
      <c r="G68" s="60" t="str">
        <f t="shared" ca="1" si="19"/>
        <v>15%</v>
      </c>
      <c r="H68" s="60" t="str">
        <f t="shared" ca="1" si="19"/>
        <v>536</v>
      </c>
      <c r="I68" s="60" t="str">
        <f t="shared" ca="1" si="19"/>
        <v>67%</v>
      </c>
      <c r="J68" s="60" t="str">
        <f t="shared" ca="1" si="19"/>
        <v>32%</v>
      </c>
      <c r="K68" s="60" t="str">
        <f t="shared" ca="1" si="12"/>
        <v>€ 563</v>
      </c>
      <c r="L68" s="60" t="str">
        <f t="shared" ca="1" si="12"/>
        <v>87%</v>
      </c>
      <c r="M68" s="60" t="str">
        <f t="shared" ca="1" si="13"/>
        <v>01:40</v>
      </c>
    </row>
    <row r="69" spans="2:13" x14ac:dyDescent="0.25">
      <c r="B69" s="52">
        <v>9</v>
      </c>
      <c r="C69" s="51" t="str">
        <f>INDEX(tblBerekOpties[Berekeningen],tblBerekPlusOpm[[#This Row],[Nr]])</f>
        <v>6 maands gemiddelde</v>
      </c>
      <c r="D69" s="60" t="str">
        <f t="shared" ref="D69:J69" ca="1" si="20">IFERROR(TEXT(D49,D29),0)</f>
        <v>€ 301.243</v>
      </c>
      <c r="E69" s="60" t="str">
        <f t="shared" ca="1" si="20"/>
        <v>257,5 k</v>
      </c>
      <c r="F69" s="60" t="str">
        <f t="shared" ca="1" si="20"/>
        <v>€ 160.118</v>
      </c>
      <c r="G69" s="60" t="str">
        <f t="shared" ca="1" si="20"/>
        <v>16%</v>
      </c>
      <c r="H69" s="60" t="str">
        <f t="shared" ca="1" si="20"/>
        <v>538</v>
      </c>
      <c r="I69" s="60" t="str">
        <f t="shared" ca="1" si="20"/>
        <v>66%</v>
      </c>
      <c r="J69" s="60" t="str">
        <f t="shared" ca="1" si="20"/>
        <v>33%</v>
      </c>
      <c r="K69" s="60" t="str">
        <f t="shared" ca="1" si="12"/>
        <v>€ 560</v>
      </c>
      <c r="L69" s="60" t="str">
        <f t="shared" ca="1" si="12"/>
        <v>87%</v>
      </c>
      <c r="M69" s="60" t="str">
        <f t="shared" ca="1" si="13"/>
        <v>01:45</v>
      </c>
    </row>
    <row r="70" spans="2:13" x14ac:dyDescent="0.25">
      <c r="B70" s="52">
        <v>10</v>
      </c>
      <c r="C70" s="51" t="str">
        <f>INDEX(tblBerekOpties[Berekeningen],tblBerekPlusOpm[[#This Row],[Nr]])</f>
        <v>Jaar gemiddelde</v>
      </c>
      <c r="D70" s="60" t="str">
        <f t="shared" ref="D70:J70" ca="1" si="21">IFERROR(TEXT(D50,D30),0)</f>
        <v>€ 303.769</v>
      </c>
      <c r="E70" s="60" t="str">
        <f t="shared" ca="1" si="21"/>
        <v>255,0 k</v>
      </c>
      <c r="F70" s="60" t="str">
        <f t="shared" ca="1" si="21"/>
        <v>€ 163.374</v>
      </c>
      <c r="G70" s="60" t="str">
        <f t="shared" ca="1" si="21"/>
        <v>17%</v>
      </c>
      <c r="H70" s="60" t="str">
        <f t="shared" ca="1" si="21"/>
        <v>552</v>
      </c>
      <c r="I70" s="60" t="str">
        <f t="shared" ca="1" si="21"/>
        <v>63%</v>
      </c>
      <c r="J70" s="60" t="str">
        <f t="shared" ca="1" si="21"/>
        <v>36%</v>
      </c>
      <c r="K70" s="60" t="str">
        <f t="shared" ca="1" si="12"/>
        <v>€ 552</v>
      </c>
      <c r="L70" s="60" t="str">
        <f t="shared" ca="1" si="12"/>
        <v>87%</v>
      </c>
      <c r="M70" s="60" t="str">
        <f t="shared" ca="1" si="13"/>
        <v>02:07</v>
      </c>
    </row>
    <row r="71" spans="2:13" x14ac:dyDescent="0.25">
      <c r="B71" s="52">
        <v>11</v>
      </c>
      <c r="C71" s="51" t="e">
        <f>INDEX(tblBerekOpties[Berekeningen],tblBerekPlusOpm[[#This Row],[Nr]])</f>
        <v>#REF!</v>
      </c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2:13" x14ac:dyDescent="0.25">
      <c r="B72" s="52">
        <v>12</v>
      </c>
      <c r="C72" s="51" t="e">
        <f>INDEX(tblBerekOpties[Berekeningen],tblBerekPlusOpm[[#This Row],[Nr]])</f>
        <v>#REF!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2:13" x14ac:dyDescent="0.25">
      <c r="B73" s="52">
        <v>13</v>
      </c>
      <c r="C73" s="51" t="e">
        <f>INDEX(tblBerekOpties[Berekeningen],tblBerekPlusOpm[[#This Row],[Nr]])</f>
        <v>#REF!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2:13" x14ac:dyDescent="0.25">
      <c r="B74" s="52">
        <v>14</v>
      </c>
      <c r="C74" s="51" t="e">
        <f>INDEX(tblBerekOpties[Berekeningen],tblBerekPlusOpm[[#This Row],[Nr]])</f>
        <v>#REF!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2:13" x14ac:dyDescent="0.25">
      <c r="B75" s="52">
        <v>15</v>
      </c>
      <c r="C75" s="51" t="e">
        <f>INDEX(tblBerekOpties[Berekeningen],tblBerekPlusOpm[[#This Row],[Nr]])</f>
        <v>#REF!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2:13" x14ac:dyDescent="0.25">
      <c r="B76" s="52">
        <v>16</v>
      </c>
      <c r="C76" s="51" t="e">
        <f>INDEX(tblBerekOpties[Berekeningen],tblBerekPlusOpm[[#This Row],[Nr]])</f>
        <v>#REF!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2:13" ht="15.75" thickBot="1" x14ac:dyDescent="0.3"/>
    <row r="78" spans="2:13" ht="21" x14ac:dyDescent="0.35">
      <c r="B78" s="67" t="s">
        <v>121</v>
      </c>
      <c r="C78" s="68"/>
      <c r="D78" s="69">
        <v>1</v>
      </c>
      <c r="E78" s="69"/>
      <c r="F78" s="69">
        <v>2</v>
      </c>
      <c r="G78" s="69"/>
      <c r="H78" s="69">
        <v>3</v>
      </c>
      <c r="I78" s="68"/>
      <c r="J78" s="70"/>
    </row>
    <row r="79" spans="2:13" x14ac:dyDescent="0.25">
      <c r="B79" s="71" t="s">
        <v>117</v>
      </c>
      <c r="C79" s="72"/>
      <c r="D79" s="72">
        <f ca="1">OFFSET(OvzBlokInd,1,D78)</f>
        <v>1</v>
      </c>
      <c r="E79" s="72"/>
      <c r="F79" s="72">
        <f ca="1">OFFSET(OvzBlokInd,1,F78)</f>
        <v>2</v>
      </c>
      <c r="G79" s="72"/>
      <c r="H79" s="72">
        <f ca="1">OFFSET(OvzBlokInd,1,H78)</f>
        <v>5</v>
      </c>
      <c r="I79" s="72"/>
      <c r="J79" s="73"/>
    </row>
    <row r="80" spans="2:13" x14ac:dyDescent="0.25">
      <c r="B80" s="34"/>
      <c r="C80" s="1" t="s">
        <v>120</v>
      </c>
      <c r="D80" s="74" t="str">
        <f ca="1">INDEX(tblDataInd[Naam],D79)</f>
        <v>Verkoop</v>
      </c>
      <c r="E80" s="75"/>
      <c r="F80" s="74" t="str">
        <f ca="1">INDEX(tblDataInd[Naam],F79)</f>
        <v>Kosten</v>
      </c>
      <c r="G80" s="75"/>
      <c r="H80" s="74" t="str">
        <f ca="1">INDEX(tblDataInd[Naam],H79)</f>
        <v>Klanten</v>
      </c>
      <c r="I80" s="75"/>
      <c r="J80" s="17"/>
    </row>
    <row r="81" spans="2:10" x14ac:dyDescent="0.25">
      <c r="B81" s="34">
        <v>3</v>
      </c>
      <c r="C81" s="1" t="str">
        <f ca="1">INDEX(tblBerekOpties[Berekeningen],OFFSET(OvzBlokInd,$B81,1))</f>
        <v>Waarde deze maand</v>
      </c>
      <c r="D81" s="76" t="str">
        <f ca="1">INDEX(tblBerekPlusOpm[],OFFSET(OvzBlokInd,$B81,1),D$79+2)</f>
        <v>€ 300.078</v>
      </c>
      <c r="E81" s="78"/>
      <c r="F81" s="76" t="str">
        <f ca="1">INDEX(tblBerekPlusOpm[],OFFSET(OvzBlokInd,$B81,1),F$79+2)</f>
        <v>266,8 k</v>
      </c>
      <c r="G81" s="78"/>
      <c r="H81" s="76" t="str">
        <f ca="1">INDEX(tblBerekPlusOpm[],OFFSET(OvzBlokInd,$B81,1),H$79+2)</f>
        <v>535</v>
      </c>
      <c r="I81" s="78"/>
      <c r="J81" s="17"/>
    </row>
    <row r="82" spans="2:10" x14ac:dyDescent="0.25">
      <c r="B82" s="34">
        <v>4</v>
      </c>
      <c r="C82" s="1" t="str">
        <f ca="1">INDEX(tblBerekOpties[Berekeningen],OFFSET(OvzBlokInd,$B82,1))</f>
        <v>Waarde vorig jaar</v>
      </c>
      <c r="D82" s="76" t="str">
        <f ca="1">INDEX(tblBerekPlusOpm[],OFFSET(OvzBlokInd,$B82,1),D$79+2)</f>
        <v>€ 312.379</v>
      </c>
      <c r="E82" s="77" t="str">
        <f ca="1">INDEX(tblBerekPlusOpm[],OFFSET(OvzBlokInd,$B82,2),D$79+2)</f>
        <v>102,9%</v>
      </c>
      <c r="F82" s="76" t="str">
        <f ca="1">INDEX(tblBerekPlusOpm[],OFFSET(OvzBlokInd,$B82,1),F$79+2)</f>
        <v>194,3 k</v>
      </c>
      <c r="G82" s="77" t="str">
        <f ca="1">INDEX(tblBerekPlusOpm[],OFFSET(OvzBlokInd,$B82,2),F$79+2)</f>
        <v>176,0%</v>
      </c>
      <c r="H82" s="76" t="str">
        <f ca="1">INDEX(tblBerekPlusOpm[],OFFSET(OvzBlokInd,$B82,1),H$79+2)</f>
        <v>406</v>
      </c>
      <c r="I82" s="77" t="str">
        <f ca="1">INDEX(tblBerekPlusOpm[],OFFSET(OvzBlokInd,$B82,2),H$79+2)</f>
        <v>152,0%</v>
      </c>
      <c r="J82" s="17" t="str">
        <f ca="1">INDEX(tblBerekOpties[Berekeningen],OFFSET(OvzBlokInd,$B82,2))</f>
        <v>% Doel</v>
      </c>
    </row>
    <row r="83" spans="2:10" ht="15.75" thickBot="1" x14ac:dyDescent="0.3">
      <c r="B83" s="62">
        <v>5</v>
      </c>
      <c r="C83" s="50" t="str">
        <f ca="1">INDEX(tblBerekOpties[Berekeningen],OFFSET(OvzBlokInd,$B83,1))</f>
        <v>6 maands gemiddelde</v>
      </c>
      <c r="D83" s="80" t="str">
        <f ca="1">INDEX(tblBerekPlusOpm[],OFFSET(OvzBlokInd,$B83,1),D$79+2)</f>
        <v>€ 301.243</v>
      </c>
      <c r="E83" s="81" t="str">
        <f ca="1">INDEX(tblBerekPlusOpm[],OFFSET(OvzBlokInd,$B83,2),D$79+2)</f>
        <v>€ 303.769</v>
      </c>
      <c r="F83" s="80" t="str">
        <f ca="1">INDEX(tblBerekPlusOpm[],OFFSET(OvzBlokInd,$B83,1),F$79+2)</f>
        <v>257,5 k</v>
      </c>
      <c r="G83" s="81" t="str">
        <f ca="1">INDEX(tblBerekPlusOpm[],OFFSET(OvzBlokInd,$B83,2),F$79+2)</f>
        <v>255,0 k</v>
      </c>
      <c r="H83" s="80" t="str">
        <f ca="1">INDEX(tblBerekPlusOpm[],OFFSET(OvzBlokInd,$B83,1),H$79+2)</f>
        <v>538</v>
      </c>
      <c r="I83" s="81" t="str">
        <f ca="1">INDEX(tblBerekPlusOpm[],OFFSET(OvzBlokInd,$B83,2),H$79+2)</f>
        <v>552</v>
      </c>
      <c r="J83" s="18" t="str">
        <f ca="1">INDEX(tblBerekOpties[Berekeningen],OFFSET(OvzBlokInd,$B83,2))</f>
        <v>Jaar gemiddelde</v>
      </c>
    </row>
    <row r="84" spans="2:10" x14ac:dyDescent="0.25">
      <c r="B84" s="83"/>
      <c r="C84" s="84" t="s">
        <v>122</v>
      </c>
      <c r="D84" s="84">
        <f>IF(SrtOvz="YoY",1,13-MONTH(DtmRef))</f>
        <v>5</v>
      </c>
      <c r="E84" s="84"/>
      <c r="F84" s="84"/>
      <c r="G84" s="84"/>
      <c r="H84" s="84"/>
      <c r="I84" s="84"/>
      <c r="J84" s="85"/>
    </row>
    <row r="85" spans="2:10" x14ac:dyDescent="0.25">
      <c r="B85" s="34"/>
      <c r="C85" s="1">
        <v>1</v>
      </c>
      <c r="D85" s="74">
        <f ca="1">IFERROR(INDEX(tblYoY[],$C85+$D$84,D$79+2),NA())</f>
        <v>306270</v>
      </c>
      <c r="E85" s="74"/>
      <c r="F85" s="74">
        <f ca="1">IFERROR(INDEX(tblYoY[],$C85+$D$84,F$79+2),NA())</f>
        <v>250941</v>
      </c>
      <c r="G85" s="74"/>
      <c r="H85" s="74">
        <f ca="1">IFERROR(INDEX(tblYoY[],$C85+$D$84,H$79+2),NA())</f>
        <v>542</v>
      </c>
      <c r="I85" s="74"/>
      <c r="J85" s="17"/>
    </row>
    <row r="86" spans="2:10" x14ac:dyDescent="0.25">
      <c r="B86" s="34"/>
      <c r="C86" s="1">
        <v>2</v>
      </c>
      <c r="D86" s="39">
        <f ca="1">IFERROR(INDEX(tblYoY[],$C86+$D$84,D$79+2),NA())</f>
        <v>300573</v>
      </c>
      <c r="E86" s="39"/>
      <c r="F86" s="39">
        <f ca="1">IFERROR(INDEX(tblYoY[],$C86+$D$84,F$79+2),NA())</f>
        <v>249496</v>
      </c>
      <c r="G86" s="39"/>
      <c r="H86" s="39">
        <f ca="1">IFERROR(INDEX(tblYoY[],$C86+$D$84,H$79+2),NA())</f>
        <v>541</v>
      </c>
      <c r="I86" s="39"/>
      <c r="J86" s="17"/>
    </row>
    <row r="87" spans="2:10" x14ac:dyDescent="0.25">
      <c r="B87" s="34"/>
      <c r="C87" s="1">
        <v>3</v>
      </c>
      <c r="D87" s="39">
        <f ca="1">IFERROR(INDEX(tblYoY[],$C87+$D$84,D$79+2),NA())</f>
        <v>298960</v>
      </c>
      <c r="E87" s="39"/>
      <c r="F87" s="39">
        <f ca="1">IFERROR(INDEX(tblYoY[],$C87+$D$84,F$79+2),NA())</f>
        <v>245312</v>
      </c>
      <c r="G87" s="39"/>
      <c r="H87" s="39">
        <f ca="1">IFERROR(INDEX(tblYoY[],$C87+$D$84,H$79+2),NA())</f>
        <v>540</v>
      </c>
      <c r="I87" s="39"/>
      <c r="J87" s="17"/>
    </row>
    <row r="88" spans="2:10" x14ac:dyDescent="0.25">
      <c r="B88" s="34"/>
      <c r="C88" s="1">
        <v>4</v>
      </c>
      <c r="D88" s="39">
        <f ca="1">IFERROR(INDEX(tblYoY[],$C88+$D$84,D$79+2),NA())</f>
        <v>300034</v>
      </c>
      <c r="E88" s="39"/>
      <c r="F88" s="39">
        <f ca="1">IFERROR(INDEX(tblYoY[],$C88+$D$84,F$79+2),NA())</f>
        <v>252413</v>
      </c>
      <c r="G88" s="39"/>
      <c r="H88" s="39">
        <f ca="1">IFERROR(INDEX(tblYoY[],$C88+$D$84,H$79+2),NA())</f>
        <v>539</v>
      </c>
      <c r="I88" s="39"/>
      <c r="J88" s="17"/>
    </row>
    <row r="89" spans="2:10" x14ac:dyDescent="0.25">
      <c r="B89" s="34"/>
      <c r="C89" s="1">
        <v>5</v>
      </c>
      <c r="D89" s="39">
        <f ca="1">IFERROR(INDEX(tblYoY[],$C89+$D$84,D$79+2),NA())</f>
        <v>302646</v>
      </c>
      <c r="E89" s="39"/>
      <c r="F89" s="39">
        <f ca="1">IFERROR(INDEX(tblYoY[],$C89+$D$84,F$79+2),NA())</f>
        <v>257894</v>
      </c>
      <c r="G89" s="39"/>
      <c r="H89" s="39">
        <f ca="1">IFERROR(INDEX(tblYoY[],$C89+$D$84,H$79+2),NA())</f>
        <v>538</v>
      </c>
      <c r="I89" s="39"/>
      <c r="J89" s="17"/>
    </row>
    <row r="90" spans="2:10" x14ac:dyDescent="0.25">
      <c r="B90" s="34"/>
      <c r="C90" s="1">
        <v>6</v>
      </c>
      <c r="D90" s="39">
        <f ca="1">IFERROR(INDEX(tblYoY[],$C90+$D$84,D$79+2),NA())</f>
        <v>300916</v>
      </c>
      <c r="E90" s="39"/>
      <c r="F90" s="39">
        <f ca="1">IFERROR(INDEX(tblYoY[],$C90+$D$84,F$79+2),NA())</f>
        <v>256401</v>
      </c>
      <c r="G90" s="39"/>
      <c r="H90" s="39">
        <f ca="1">IFERROR(INDEX(tblYoY[],$C90+$D$84,H$79+2),NA())</f>
        <v>537</v>
      </c>
      <c r="I90" s="39"/>
      <c r="J90" s="17"/>
    </row>
    <row r="91" spans="2:10" x14ac:dyDescent="0.25">
      <c r="B91" s="34"/>
      <c r="C91" s="1">
        <v>7</v>
      </c>
      <c r="D91" s="39">
        <f ca="1">IFERROR(INDEX(tblYoY[],$C91+$D$84,D$79+2),NA())</f>
        <v>304823</v>
      </c>
      <c r="E91" s="39"/>
      <c r="F91" s="39">
        <f ca="1">IFERROR(INDEX(tblYoY[],$C91+$D$84,F$79+2),NA())</f>
        <v>266424</v>
      </c>
      <c r="G91" s="39"/>
      <c r="H91" s="39">
        <f ca="1">IFERROR(INDEX(tblYoY[],$C91+$D$84,H$79+2),NA())</f>
        <v>536</v>
      </c>
      <c r="I91" s="39"/>
      <c r="J91" s="17"/>
    </row>
    <row r="92" spans="2:10" x14ac:dyDescent="0.25">
      <c r="B92" s="34"/>
      <c r="C92" s="1">
        <v>8</v>
      </c>
      <c r="D92" s="39">
        <f ca="1">IFERROR(INDEX(tblYoY[],$C92+$D$84,D$79+2),NA())</f>
        <v>300078</v>
      </c>
      <c r="E92" s="39"/>
      <c r="F92" s="39">
        <f ca="1">IFERROR(INDEX(tblYoY[],$C92+$D$84,F$79+2),NA())</f>
        <v>266750</v>
      </c>
      <c r="G92" s="39"/>
      <c r="H92" s="39">
        <f ca="1">IFERROR(INDEX(tblYoY[],$C92+$D$84,H$79+2),NA())</f>
        <v>535</v>
      </c>
      <c r="I92" s="39"/>
      <c r="J92" s="17"/>
    </row>
    <row r="93" spans="2:10" x14ac:dyDescent="0.25">
      <c r="B93" s="34"/>
      <c r="C93" s="1">
        <v>9</v>
      </c>
      <c r="D93" s="39" t="e">
        <f ca="1">IFERROR(INDEX(tblYoY[],$C93+$D$84,D$79+2),NA())</f>
        <v>#N/A</v>
      </c>
      <c r="E93" s="39"/>
      <c r="F93" s="39" t="e">
        <f ca="1">IFERROR(INDEX(tblYoY[],$C93+$D$84,F$79+2),NA())</f>
        <v>#N/A</v>
      </c>
      <c r="G93" s="39"/>
      <c r="H93" s="39" t="e">
        <f ca="1">IFERROR(INDEX(tblYoY[],$C93+$D$84,H$79+2),NA())</f>
        <v>#N/A</v>
      </c>
      <c r="I93" s="39"/>
      <c r="J93" s="17"/>
    </row>
    <row r="94" spans="2:10" x14ac:dyDescent="0.25">
      <c r="B94" s="34"/>
      <c r="C94" s="1">
        <v>10</v>
      </c>
      <c r="D94" s="39" t="e">
        <f ca="1">IFERROR(INDEX(tblYoY[],$C94+$D$84,D$79+2),NA())</f>
        <v>#N/A</v>
      </c>
      <c r="E94" s="39"/>
      <c r="F94" s="39" t="e">
        <f ca="1">IFERROR(INDEX(tblYoY[],$C94+$D$84,F$79+2),NA())</f>
        <v>#N/A</v>
      </c>
      <c r="G94" s="39"/>
      <c r="H94" s="39" t="e">
        <f ca="1">IFERROR(INDEX(tblYoY[],$C94+$D$84,H$79+2),NA())</f>
        <v>#N/A</v>
      </c>
      <c r="I94" s="39"/>
      <c r="J94" s="17"/>
    </row>
    <row r="95" spans="2:10" x14ac:dyDescent="0.25">
      <c r="B95" s="34"/>
      <c r="C95" s="1">
        <v>11</v>
      </c>
      <c r="D95" s="39" t="e">
        <f ca="1">IFERROR(INDEX(tblYoY[],$C95+$D$84,D$79+2),NA())</f>
        <v>#N/A</v>
      </c>
      <c r="E95" s="39"/>
      <c r="F95" s="39" t="e">
        <f ca="1">IFERROR(INDEX(tblYoY[],$C95+$D$84,F$79+2),NA())</f>
        <v>#N/A</v>
      </c>
      <c r="G95" s="39"/>
      <c r="H95" s="39" t="e">
        <f ca="1">IFERROR(INDEX(tblYoY[],$C95+$D$84,H$79+2),NA())</f>
        <v>#N/A</v>
      </c>
      <c r="I95" s="39"/>
      <c r="J95" s="17"/>
    </row>
    <row r="96" spans="2:10" ht="15.75" thickBot="1" x14ac:dyDescent="0.3">
      <c r="B96" s="62"/>
      <c r="C96" s="50">
        <v>12</v>
      </c>
      <c r="D96" s="49" t="e">
        <f ca="1">IFERROR(INDEX(tblYoY[],$C96+$D$84,D$79+2),NA())</f>
        <v>#N/A</v>
      </c>
      <c r="E96" s="49"/>
      <c r="F96" s="49" t="e">
        <f ca="1">IFERROR(INDEX(tblYoY[],$C96+$D$84,F$79+2),NA())</f>
        <v>#N/A</v>
      </c>
      <c r="G96" s="49"/>
      <c r="H96" s="49" t="e">
        <f ca="1">IFERROR(INDEX(tblYoY[],$C96+$D$84,H$79+2),NA())</f>
        <v>#N/A</v>
      </c>
      <c r="I96" s="49"/>
      <c r="J96" s="18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ht="15.75" thickBot="1" x14ac:dyDescent="0.3"/>
    <row r="99" spans="2:8" ht="21" x14ac:dyDescent="0.35">
      <c r="B99" s="139" t="s">
        <v>123</v>
      </c>
      <c r="C99" s="140"/>
      <c r="D99" s="140"/>
      <c r="E99" s="140"/>
      <c r="F99" s="141"/>
    </row>
    <row r="100" spans="2:8" ht="15" customHeight="1" x14ac:dyDescent="0.25">
      <c r="B100" s="91"/>
      <c r="C100" s="92" t="s">
        <v>117</v>
      </c>
      <c r="D100" s="93">
        <f>C116</f>
        <v>5</v>
      </c>
      <c r="E100" s="94"/>
      <c r="F100" s="95"/>
    </row>
    <row r="101" spans="2:8" ht="15" customHeight="1" x14ac:dyDescent="0.25">
      <c r="B101" s="91"/>
      <c r="C101" s="92"/>
      <c r="D101" s="93" t="str">
        <f>INDEX(tblDataInd[Naam],D100)</f>
        <v>Klanten</v>
      </c>
      <c r="E101" s="93" t="str">
        <f>"Doel "&amp;D101</f>
        <v>Doel Klanten</v>
      </c>
      <c r="F101" s="95" t="str">
        <f>D101&amp;" "&amp;SrtOvz</f>
        <v>Klanten YtD</v>
      </c>
    </row>
    <row r="102" spans="2:8" x14ac:dyDescent="0.25">
      <c r="B102" s="34">
        <v>1</v>
      </c>
      <c r="C102" s="96" t="str">
        <f>TEXT(IFERROR(INDEX(tblYoY[],$B102+$D$84,2),""),OpmDtm)</f>
        <v>jan 2022</v>
      </c>
      <c r="D102" s="1">
        <f>IFERROR(INDEX(tblYoY[],$B102+$D$84,D$100+2),NA())</f>
        <v>542</v>
      </c>
      <c r="E102" s="1">
        <f>IFERROR(INDEX(tblYoY[],$B102+$D$84,D$100+12),NA())</f>
        <v>380</v>
      </c>
      <c r="F102" s="86" t="str">
        <f>INDEX(tblOpmaak[OpmCd],MATCH(INDEX(tblDataInd[],$D$100,4),tblOpmaak[Naam],0),0)</f>
        <v>#.##0</v>
      </c>
    </row>
    <row r="103" spans="2:8" x14ac:dyDescent="0.25">
      <c r="B103" s="34">
        <v>2</v>
      </c>
      <c r="C103" s="76" t="str">
        <f>TEXT(IFERROR(INDEX(tblYoY[],$B103+$D$84,2),""),OpmDtm)</f>
        <v>feb 2022</v>
      </c>
      <c r="D103" s="1">
        <f>IFERROR(INDEX(tblYoY[],$B103+$D$84,D$100+2),NA())</f>
        <v>541</v>
      </c>
      <c r="E103" s="1">
        <f>IFERROR(INDEX(tblYoY[],$B103+$D$84,D$100+12),NA())</f>
        <v>376</v>
      </c>
      <c r="F103" s="87">
        <f>INDEX(tblDataInd[Opmerkingen],D100)</f>
        <v>0</v>
      </c>
    </row>
    <row r="104" spans="2:8" x14ac:dyDescent="0.25">
      <c r="B104" s="34">
        <v>3</v>
      </c>
      <c r="C104" s="76" t="str">
        <f>TEXT(IFERROR(INDEX(tblYoY[],$B104+$D$84,2),""),OpmDtm)</f>
        <v>mrt 2022</v>
      </c>
      <c r="D104" s="1">
        <f>IFERROR(INDEX(tblYoY[],$B104+$D$84,D$100+2),NA())</f>
        <v>540</v>
      </c>
      <c r="E104" s="1">
        <f>IFERROR(INDEX(tblYoY[],$B104+$D$84,D$100+12),NA())</f>
        <v>372</v>
      </c>
      <c r="F104" s="87" t="str">
        <f>IF(F103=0,"",F103)</f>
        <v/>
      </c>
    </row>
    <row r="105" spans="2:8" x14ac:dyDescent="0.25">
      <c r="B105" s="34">
        <v>4</v>
      </c>
      <c r="C105" s="76" t="str">
        <f>TEXT(IFERROR(INDEX(tblYoY[],$B105+$D$84,2),""),OpmDtm)</f>
        <v>apr 2022</v>
      </c>
      <c r="D105" s="1">
        <f>IFERROR(INDEX(tblYoY[],$B105+$D$84,D$100+2),NA())</f>
        <v>539</v>
      </c>
      <c r="E105" s="1">
        <f>IFERROR(INDEX(tblYoY[],$B105+$D$84,D$100+12),NA())</f>
        <v>368</v>
      </c>
      <c r="F105" s="87"/>
    </row>
    <row r="106" spans="2:8" x14ac:dyDescent="0.25">
      <c r="B106" s="34">
        <v>5</v>
      </c>
      <c r="C106" s="76" t="str">
        <f>TEXT(IFERROR(INDEX(tblYoY[],$B106+$D$84,2),""),OpmDtm)</f>
        <v>mei 2022</v>
      </c>
      <c r="D106" s="1">
        <f>IFERROR(INDEX(tblYoY[],$B106+$D$84,D$100+2),NA())</f>
        <v>538</v>
      </c>
      <c r="E106" s="1">
        <f>IFERROR(INDEX(tblYoY[],$B106+$D$84,D$100+12),NA())</f>
        <v>364</v>
      </c>
      <c r="F106" s="87"/>
    </row>
    <row r="107" spans="2:8" x14ac:dyDescent="0.25">
      <c r="B107" s="34">
        <v>6</v>
      </c>
      <c r="C107" s="76" t="str">
        <f>TEXT(IFERROR(INDEX(tblYoY[],$B107+$D$84,2),""),OpmDtm)</f>
        <v>jun 2022</v>
      </c>
      <c r="D107" s="1">
        <f>IFERROR(INDEX(tblYoY[],$B107+$D$84,D$100+2),NA())</f>
        <v>537</v>
      </c>
      <c r="E107" s="1">
        <f>IFERROR(INDEX(tblYoY[],$B107+$D$84,D$100+12),NA())</f>
        <v>360</v>
      </c>
      <c r="F107" s="87"/>
    </row>
    <row r="108" spans="2:8" x14ac:dyDescent="0.25">
      <c r="B108" s="34">
        <v>7</v>
      </c>
      <c r="C108" s="76" t="str">
        <f>TEXT(IFERROR(INDEX(tblYoY[],$B108+$D$84,2),""),OpmDtm)</f>
        <v>jul 2022</v>
      </c>
      <c r="D108" s="1">
        <f>IFERROR(INDEX(tblYoY[],$B108+$D$84,D$100+2),NA())</f>
        <v>536</v>
      </c>
      <c r="E108" s="1">
        <f>IFERROR(INDEX(tblYoY[],$B108+$D$84,D$100+12),NA())</f>
        <v>356</v>
      </c>
      <c r="F108" s="87"/>
    </row>
    <row r="109" spans="2:8" x14ac:dyDescent="0.25">
      <c r="B109" s="34">
        <v>8</v>
      </c>
      <c r="C109" s="76" t="str">
        <f>TEXT(IFERROR(INDEX(tblYoY[],$B109+$D$84,2),""),OpmDtm)</f>
        <v>aug 2022</v>
      </c>
      <c r="D109" s="1">
        <f>IFERROR(INDEX(tblYoY[],$B109+$D$84,D$100+2),NA())</f>
        <v>535</v>
      </c>
      <c r="E109" s="1">
        <f>IFERROR(INDEX(tblYoY[],$B109+$D$84,D$100+12),NA())</f>
        <v>352</v>
      </c>
      <c r="F109" s="87"/>
    </row>
    <row r="110" spans="2:8" x14ac:dyDescent="0.25">
      <c r="B110" s="34">
        <v>9</v>
      </c>
      <c r="C110" s="76" t="str">
        <f>TEXT(IFERROR(INDEX(tblYoY[],$B110+$D$84,2),""),OpmDtm)</f>
        <v/>
      </c>
      <c r="D110" s="1" t="e">
        <f>IFERROR(INDEX(tblYoY[],$B110+$D$84,D$100+2),NA())</f>
        <v>#N/A</v>
      </c>
      <c r="E110" s="1" t="e">
        <f>IFERROR(INDEX(tblYoY[],$B110+$D$84,D$100+12),NA())</f>
        <v>#N/A</v>
      </c>
      <c r="F110" s="87"/>
    </row>
    <row r="111" spans="2:8" x14ac:dyDescent="0.25">
      <c r="B111" s="34">
        <v>10</v>
      </c>
      <c r="C111" s="76" t="str">
        <f>TEXT(IFERROR(INDEX(tblYoY[],$B111+$D$84,2),""),OpmDtm)</f>
        <v/>
      </c>
      <c r="D111" s="1" t="e">
        <f>IFERROR(INDEX(tblYoY[],$B111+$D$84,D$100+2),NA())</f>
        <v>#N/A</v>
      </c>
      <c r="E111" s="1" t="e">
        <f>IFERROR(INDEX(tblYoY[],$B111+$D$84,D$100+12),NA())</f>
        <v>#N/A</v>
      </c>
      <c r="F111" s="87"/>
    </row>
    <row r="112" spans="2:8" x14ac:dyDescent="0.25">
      <c r="B112" s="34">
        <v>11</v>
      </c>
      <c r="C112" s="76" t="str">
        <f>TEXT(IFERROR(INDEX(tblYoY[],$B112+$D$84,2),""),OpmDtm)</f>
        <v/>
      </c>
      <c r="D112" s="1" t="e">
        <f>IFERROR(INDEX(tblYoY[],$B112+$D$84,D$100+2),NA())</f>
        <v>#N/A</v>
      </c>
      <c r="E112" s="1" t="e">
        <f>IFERROR(INDEX(tblYoY[],$B112+$D$84,D$100+12),NA())</f>
        <v>#N/A</v>
      </c>
      <c r="F112" s="87"/>
    </row>
    <row r="113" spans="2:6" ht="15.75" thickBot="1" x14ac:dyDescent="0.3">
      <c r="B113" s="62">
        <v>12</v>
      </c>
      <c r="C113" s="80" t="str">
        <f>TEXT(IFERROR(INDEX(tblYoY[],$B113+$D$84,2),""),OpmDtm)</f>
        <v/>
      </c>
      <c r="D113" s="50" t="e">
        <f>IFERROR(INDEX(tblYoY[],$B113+$D$84,D$100+2),NA())</f>
        <v>#N/A</v>
      </c>
      <c r="E113" s="50" t="e">
        <f>IFERROR(INDEX(tblYoY[],$B113+$D$84,D$100+12),NA())</f>
        <v>#N/A</v>
      </c>
      <c r="F113" s="88"/>
    </row>
    <row r="115" spans="2:6" x14ac:dyDescent="0.25">
      <c r="B115" s="89" t="s">
        <v>6</v>
      </c>
      <c r="C115" t="s">
        <v>125</v>
      </c>
    </row>
    <row r="116" spans="2:6" x14ac:dyDescent="0.25">
      <c r="B116" t="s">
        <v>77</v>
      </c>
      <c r="C116" s="55">
        <v>5</v>
      </c>
    </row>
  </sheetData>
  <mergeCells count="4">
    <mergeCell ref="B19:M19"/>
    <mergeCell ref="B39:M39"/>
    <mergeCell ref="B59:M59"/>
    <mergeCell ref="B99:F99"/>
  </mergeCell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C4CC-93F4-402C-A2E2-B5D700F46B2E}">
  <dimension ref="B1:N30"/>
  <sheetViews>
    <sheetView showGridLines="0" workbookViewId="0"/>
  </sheetViews>
  <sheetFormatPr defaultRowHeight="15" x14ac:dyDescent="0.25"/>
  <cols>
    <col min="1" max="1" width="2.7109375" customWidth="1"/>
    <col min="2" max="2" width="19.28515625" bestFit="1" customWidth="1"/>
    <col min="3" max="3" width="1.42578125" customWidth="1"/>
    <col min="4" max="5" width="9.28515625" customWidth="1"/>
    <col min="6" max="6" width="4.140625" customWidth="1"/>
    <col min="7" max="8" width="9.28515625" customWidth="1"/>
    <col min="9" max="9" width="4.140625" customWidth="1"/>
    <col min="10" max="11" width="9.28515625" customWidth="1"/>
    <col min="12" max="12" width="1.42578125" customWidth="1"/>
    <col min="13" max="13" width="13.85546875" bestFit="1" customWidth="1"/>
  </cols>
  <sheetData>
    <row r="1" spans="2:14" ht="15.75" thickBot="1" x14ac:dyDescent="0.3"/>
    <row r="2" spans="2:14" s="27" customFormat="1" ht="50.25" customHeight="1" thickBot="1" x14ac:dyDescent="0.3">
      <c r="B2" s="142" t="str">
        <f>KopRg</f>
        <v>Rapportage G-Info, aug 2022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4" spans="2:14" ht="15.75" x14ac:dyDescent="0.25">
      <c r="D4" s="148" t="str">
        <f ca="1">Berekeningen!D80</f>
        <v>Verkoop</v>
      </c>
      <c r="E4" s="148"/>
      <c r="G4" s="148" t="str">
        <f ca="1">Berekeningen!F80</f>
        <v>Kosten</v>
      </c>
      <c r="H4" s="148"/>
      <c r="J4" s="148" t="str">
        <f ca="1">Berekeningen!H80</f>
        <v>Klanten</v>
      </c>
      <c r="K4" s="148"/>
    </row>
    <row r="5" spans="2:14" ht="18.75" x14ac:dyDescent="0.3">
      <c r="B5" s="79" t="str">
        <f ca="1">Berekeningen!C81</f>
        <v>Waarde deze maand</v>
      </c>
      <c r="C5" s="79"/>
      <c r="D5" s="149" t="str">
        <f ca="1">Berekeningen!D81</f>
        <v>€ 300.078</v>
      </c>
      <c r="E5" s="149"/>
      <c r="G5" s="149" t="str">
        <f ca="1">Berekeningen!F81</f>
        <v>266,8 k</v>
      </c>
      <c r="H5" s="149"/>
      <c r="J5" s="149" t="str">
        <f ca="1">Berekeningen!H81</f>
        <v>535</v>
      </c>
      <c r="K5" s="149"/>
      <c r="L5" s="79"/>
      <c r="M5" s="79"/>
    </row>
    <row r="6" spans="2:14" x14ac:dyDescent="0.25">
      <c r="B6" s="79" t="str">
        <f ca="1">Berekeningen!C82</f>
        <v>Waarde vorig jaar</v>
      </c>
      <c r="C6" s="79"/>
      <c r="D6" s="105" t="str">
        <f ca="1">Berekeningen!D82</f>
        <v>€ 312.379</v>
      </c>
      <c r="E6" s="105" t="str">
        <f ca="1">Berekeningen!E82</f>
        <v>102,9%</v>
      </c>
      <c r="F6" s="97"/>
      <c r="G6" s="105" t="str">
        <f ca="1">Berekeningen!F82</f>
        <v>194,3 k</v>
      </c>
      <c r="H6" s="105" t="str">
        <f ca="1">Berekeningen!G82</f>
        <v>176,0%</v>
      </c>
      <c r="I6" s="97"/>
      <c r="J6" s="105" t="str">
        <f ca="1">Berekeningen!H82</f>
        <v>406</v>
      </c>
      <c r="K6" s="105" t="str">
        <f ca="1">Berekeningen!I82</f>
        <v>152,0%</v>
      </c>
      <c r="M6" s="82" t="str">
        <f ca="1">Berekeningen!J82</f>
        <v>% Doel</v>
      </c>
    </row>
    <row r="7" spans="2:14" x14ac:dyDescent="0.25">
      <c r="B7" s="79" t="str">
        <f ca="1">Berekeningen!C83</f>
        <v>6 maands gemiddelde</v>
      </c>
      <c r="C7" s="79"/>
      <c r="D7" s="106" t="str">
        <f ca="1">Berekeningen!D83</f>
        <v>€ 301.243</v>
      </c>
      <c r="E7" s="106" t="str">
        <f ca="1">Berekeningen!E83</f>
        <v>€ 303.769</v>
      </c>
      <c r="F7" s="97"/>
      <c r="G7" s="106" t="str">
        <f ca="1">Berekeningen!F83</f>
        <v>257,5 k</v>
      </c>
      <c r="H7" s="106" t="str">
        <f ca="1">Berekeningen!G83</f>
        <v>255,0 k</v>
      </c>
      <c r="I7" s="97"/>
      <c r="J7" s="106" t="str">
        <f ca="1">Berekeningen!H83</f>
        <v>538</v>
      </c>
      <c r="K7" s="106" t="str">
        <f ca="1">Berekeningen!I83</f>
        <v>552</v>
      </c>
      <c r="M7" s="82" t="str">
        <f ca="1">Berekeningen!J83</f>
        <v>Jaar gemiddelde</v>
      </c>
    </row>
    <row r="8" spans="2:14" x14ac:dyDescent="0.25">
      <c r="B8" s="79" t="str">
        <f>SrtOvz</f>
        <v>YtD</v>
      </c>
      <c r="D8" s="150"/>
      <c r="E8" s="150"/>
      <c r="G8" s="150"/>
      <c r="H8" s="150"/>
      <c r="J8" s="150"/>
      <c r="K8" s="150"/>
      <c r="L8" s="79"/>
      <c r="M8" s="79"/>
    </row>
    <row r="28" spans="2:14" x14ac:dyDescent="0.25">
      <c r="B28" s="90" t="str">
        <f>Berekeningen!F104</f>
        <v/>
      </c>
    </row>
    <row r="29" spans="2:14" ht="15.75" thickBot="1" x14ac:dyDescent="0.3"/>
    <row r="30" spans="2:14" s="27" customFormat="1" ht="50.25" customHeight="1" thickBot="1" x14ac:dyDescent="0.3">
      <c r="B30" s="145" t="str">
        <f ca="1">VoetRg</f>
        <v xml:space="preserve">Opgesteld door Gijs Verbruggen op 24-1-2023, gijs@ginfo.nl 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</row>
  </sheetData>
  <mergeCells count="11">
    <mergeCell ref="B2:N2"/>
    <mergeCell ref="B30:N30"/>
    <mergeCell ref="D4:E4"/>
    <mergeCell ref="D5:E5"/>
    <mergeCell ref="D8:E8"/>
    <mergeCell ref="G4:H4"/>
    <mergeCell ref="G5:H5"/>
    <mergeCell ref="G8:H8"/>
    <mergeCell ref="J4:K4"/>
    <mergeCell ref="J5:K5"/>
    <mergeCell ref="J8:K8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611C6920-CFA2-44AB-B720-B4ECD790E92C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Berekeningen!H85:H96</xm:f>
              <xm:sqref>J8</xm:sqref>
            </x14:sparkline>
          </x14:sparklines>
        </x14:sparklineGroup>
        <x14:sparklineGroup displayEmptyCellsAs="gap" high="1" low="1" xr2:uid="{6D595724-17CF-45BE-B50C-144481DC4EF9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Berekeningen!F85:F96</xm:f>
              <xm:sqref>G8</xm:sqref>
            </x14:sparkline>
          </x14:sparklines>
        </x14:sparklineGroup>
        <x14:sparklineGroup displayEmptyCellsAs="gap" high="1" low="1" xr2:uid="{B208CB6B-3494-4ACA-B5AC-8A9C6E04EB58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Berekeningen!D85:D96</xm:f>
              <xm:sqref>D8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788-6993-41AF-BA1C-34C1352B18DB}">
  <dimension ref="A1:P29"/>
  <sheetViews>
    <sheetView showGridLines="0" workbookViewId="0"/>
  </sheetViews>
  <sheetFormatPr defaultRowHeight="15" x14ac:dyDescent="0.25"/>
  <cols>
    <col min="1" max="1" width="2.7109375" customWidth="1"/>
    <col min="2" max="2" width="23" bestFit="1" customWidth="1"/>
    <col min="3" max="3" width="1.42578125" customWidth="1"/>
    <col min="4" max="5" width="12.85546875" customWidth="1"/>
    <col min="6" max="6" width="4.140625" customWidth="1"/>
    <col min="7" max="8" width="12.85546875" customWidth="1"/>
    <col min="9" max="9" width="4.140625" customWidth="1"/>
    <col min="10" max="11" width="12.85546875" customWidth="1"/>
    <col min="12" max="12" width="1.42578125" customWidth="1"/>
    <col min="13" max="14" width="12.85546875" customWidth="1"/>
    <col min="15" max="16" width="13.5703125" customWidth="1"/>
  </cols>
  <sheetData>
    <row r="1" spans="1:16" ht="15.75" thickBot="1" x14ac:dyDescent="0.3"/>
    <row r="2" spans="1:16" s="27" customFormat="1" ht="50.25" customHeight="1" thickBot="1" x14ac:dyDescent="0.3">
      <c r="B2" s="142" t="str">
        <f>KopRg</f>
        <v>Rapportage G-Info, aug 2022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</row>
    <row r="4" spans="1:16" ht="15.75" x14ac:dyDescent="0.25">
      <c r="D4" s="148" t="str">
        <f ca="1">Berekeningen!D80</f>
        <v>Verkoop</v>
      </c>
      <c r="E4" s="148"/>
      <c r="G4" s="148" t="str">
        <f ca="1">Berekeningen!F80</f>
        <v>Kosten</v>
      </c>
      <c r="H4" s="148"/>
      <c r="J4" s="148" t="str">
        <f ca="1">Berekeningen!H80</f>
        <v>Klanten</v>
      </c>
      <c r="K4" s="148"/>
    </row>
    <row r="5" spans="1:16" ht="18.75" x14ac:dyDescent="0.3">
      <c r="B5" s="79" t="str">
        <f ca="1">Berekeningen!C81</f>
        <v>Waarde deze maand</v>
      </c>
      <c r="C5" s="79"/>
      <c r="D5" s="149" t="str">
        <f ca="1">Berekeningen!D81</f>
        <v>€ 300.078</v>
      </c>
      <c r="E5" s="149"/>
      <c r="G5" s="149" t="str">
        <f ca="1">Berekeningen!F81</f>
        <v>266,8 k</v>
      </c>
      <c r="H5" s="149"/>
      <c r="J5" s="149" t="str">
        <f ca="1">Berekeningen!H81</f>
        <v>535</v>
      </c>
      <c r="K5" s="149"/>
      <c r="L5" s="79"/>
      <c r="M5" s="79"/>
    </row>
    <row r="6" spans="1:16" x14ac:dyDescent="0.25">
      <c r="B6" s="79" t="str">
        <f ca="1">Berekeningen!C82</f>
        <v>Waarde vorig jaar</v>
      </c>
      <c r="C6" s="79"/>
      <c r="D6" s="105" t="str">
        <f ca="1">Berekeningen!D82</f>
        <v>€ 312.379</v>
      </c>
      <c r="E6" s="105" t="str">
        <f ca="1">Berekeningen!E82</f>
        <v>102,9%</v>
      </c>
      <c r="G6" s="105" t="str">
        <f ca="1">Berekeningen!F82</f>
        <v>194,3 k</v>
      </c>
      <c r="H6" s="105" t="str">
        <f ca="1">Berekeningen!G82</f>
        <v>176,0%</v>
      </c>
      <c r="J6" s="105" t="str">
        <f ca="1">Berekeningen!H82</f>
        <v>406</v>
      </c>
      <c r="K6" s="105" t="str">
        <f ca="1">Berekeningen!I82</f>
        <v>152,0%</v>
      </c>
      <c r="M6" s="82" t="str">
        <f ca="1">Berekeningen!J82</f>
        <v>% Doel</v>
      </c>
    </row>
    <row r="7" spans="1:16" x14ac:dyDescent="0.25">
      <c r="B7" s="79" t="str">
        <f ca="1">Berekeningen!C83</f>
        <v>6 maands gemiddelde</v>
      </c>
      <c r="C7" s="79"/>
      <c r="D7" s="106" t="str">
        <f ca="1">Berekeningen!D83</f>
        <v>€ 301.243</v>
      </c>
      <c r="E7" s="106" t="str">
        <f ca="1">Berekeningen!E83</f>
        <v>€ 303.769</v>
      </c>
      <c r="G7" s="106" t="str">
        <f ca="1">Berekeningen!F83</f>
        <v>257,5 k</v>
      </c>
      <c r="H7" s="106" t="str">
        <f ca="1">Berekeningen!G83</f>
        <v>255,0 k</v>
      </c>
      <c r="J7" s="106" t="str">
        <f ca="1">Berekeningen!H83</f>
        <v>538</v>
      </c>
      <c r="K7" s="106" t="str">
        <f ca="1">Berekeningen!I83</f>
        <v>552</v>
      </c>
      <c r="M7" s="82" t="str">
        <f ca="1">Berekeningen!J83</f>
        <v>Jaar gemiddelde</v>
      </c>
    </row>
    <row r="8" spans="1:16" x14ac:dyDescent="0.25">
      <c r="B8" s="79" t="str">
        <f>SrtOvz</f>
        <v>YtD</v>
      </c>
      <c r="D8" s="150"/>
      <c r="E8" s="150"/>
      <c r="G8" s="150"/>
      <c r="H8" s="150"/>
      <c r="J8" s="150"/>
      <c r="K8" s="150"/>
      <c r="L8" s="79"/>
      <c r="M8" s="79"/>
    </row>
    <row r="10" spans="1:16" x14ac:dyDescent="0.25">
      <c r="D10" s="107">
        <v>1</v>
      </c>
      <c r="E10" s="107">
        <v>2</v>
      </c>
      <c r="F10" s="107"/>
      <c r="G10" s="107">
        <v>3</v>
      </c>
      <c r="H10" s="107">
        <v>4</v>
      </c>
      <c r="I10" s="107"/>
      <c r="J10" s="107">
        <v>5</v>
      </c>
      <c r="K10" s="107">
        <v>6</v>
      </c>
      <c r="L10" s="107"/>
      <c r="M10" s="107">
        <v>7</v>
      </c>
      <c r="N10" s="107">
        <v>8</v>
      </c>
      <c r="O10" s="107">
        <v>9</v>
      </c>
      <c r="P10" s="107">
        <v>10</v>
      </c>
    </row>
    <row r="11" spans="1:16" s="100" customFormat="1" ht="36" customHeight="1" x14ac:dyDescent="0.25">
      <c r="D11" s="101" t="str">
        <f>INDEX(tblBerekOpties[Berekeningen],D$10)</f>
        <v>Waarde deze maand</v>
      </c>
      <c r="E11" s="101" t="str">
        <f>INDEX(tblBerekOpties[Berekeningen],E$10)</f>
        <v>Waarde vorige maand</v>
      </c>
      <c r="F11" s="102"/>
      <c r="G11" s="101" t="str">
        <f>INDEX(tblBerekOpties[Berekeningen],G$10)</f>
        <v>Waarde vorig jaar</v>
      </c>
      <c r="H11" s="101" t="str">
        <f>INDEX(tblBerekOpties[Berekeningen],H$10)</f>
        <v>Doel deze maand</v>
      </c>
      <c r="I11" s="102"/>
      <c r="J11" s="101" t="str">
        <f>INDEX(tblBerekOpties[Berekeningen],J$10)</f>
        <v>Verandering MoM</v>
      </c>
      <c r="K11" s="101" t="str">
        <f>INDEX(tblBerekOpties[Berekeningen],K$10)</f>
        <v>Verandering YoY</v>
      </c>
      <c r="L11" s="101"/>
      <c r="M11" s="102" t="str">
        <f>INDEX(tblBerekOpties[Berekeningen],M$10)</f>
        <v>% Doel</v>
      </c>
      <c r="N11" s="101" t="str">
        <f>INDEX(tblBerekOpties[Berekeningen],N$10)</f>
        <v>3 maands gemiddelde</v>
      </c>
      <c r="O11" s="101" t="str">
        <f>INDEX(tblBerekOpties[Berekeningen],O$10)</f>
        <v>6 maands gemiddelde</v>
      </c>
      <c r="P11" s="101" t="str">
        <f>INDEX(tblBerekOpties[Berekeningen],P$10)</f>
        <v>Jaar gemiddelde</v>
      </c>
    </row>
    <row r="12" spans="1:16" x14ac:dyDescent="0.25">
      <c r="A12" s="107">
        <v>1</v>
      </c>
      <c r="B12" s="90" t="str">
        <f>Instel!D6</f>
        <v>Verkoop</v>
      </c>
      <c r="D12" s="103" t="str">
        <f>INDEX(tblBerekPlusOpm[],D$10,$A12+2)</f>
        <v>€ 300.078</v>
      </c>
      <c r="E12" s="103" t="str">
        <f>INDEX(tblBerekPlusOpm[],E$10,$A12+2)</f>
        <v>€ 304.823</v>
      </c>
      <c r="F12" s="104"/>
      <c r="G12" s="103" t="str">
        <f>INDEX(tblBerekPlusOpm[],G$10,$A12+2)</f>
        <v>€ 312.379</v>
      </c>
      <c r="H12" s="103" t="str">
        <f>INDEX(tblBerekPlusOpm[],H$10,$A12+2)</f>
        <v>€ 291.563</v>
      </c>
      <c r="I12" s="104"/>
      <c r="J12" s="103" t="str">
        <f>INDEX(tblBerekPlusOpm[],J$10,$A12+2)</f>
        <v>-€ 4.745</v>
      </c>
      <c r="K12" s="103" t="str">
        <f>INDEX(tblBerekPlusOpm[],K$10,$A12+2)</f>
        <v>-€ 12.301</v>
      </c>
      <c r="L12" s="103"/>
      <c r="M12" s="104" t="str">
        <f>INDEX(tblBerekPlusOpm[],M$10,$A12+2)</f>
        <v>102,9%</v>
      </c>
      <c r="N12" s="103" t="str">
        <f ca="1">INDEX(tblBerekPlusOpm[],N$10,$A12+2)</f>
        <v>€ 301.939</v>
      </c>
      <c r="O12" s="103" t="str">
        <f ca="1">INDEX(tblBerekPlusOpm[],O$10,$A12+2)</f>
        <v>€ 301.243</v>
      </c>
      <c r="P12" s="103" t="str">
        <f ca="1">INDEX(tblBerekPlusOpm[],P$10,$A12+2)</f>
        <v>€ 303.769</v>
      </c>
    </row>
    <row r="13" spans="1:16" x14ac:dyDescent="0.25">
      <c r="A13" s="107">
        <v>2</v>
      </c>
      <c r="B13" s="90" t="str">
        <f>Instel!D7</f>
        <v>Kosten</v>
      </c>
      <c r="D13" s="103" t="str">
        <f>INDEX(tblBerekPlusOpm[],D$10,$A13+2)</f>
        <v>266,8 k</v>
      </c>
      <c r="E13" s="103" t="str">
        <f>INDEX(tblBerekPlusOpm[],E$10,$A13+2)</f>
        <v>266,4 k</v>
      </c>
      <c r="F13" s="104"/>
      <c r="G13" s="103" t="str">
        <f>INDEX(tblBerekPlusOpm[],G$10,$A13+2)</f>
        <v>194,3 k</v>
      </c>
      <c r="H13" s="103" t="str">
        <f>INDEX(tblBerekPlusOpm[],H$10,$A13+2)</f>
        <v>151,5 k</v>
      </c>
      <c r="I13" s="104"/>
      <c r="J13" s="103" t="str">
        <f>INDEX(tblBerekPlusOpm[],J$10,$A13+2)</f>
        <v>0,3 k</v>
      </c>
      <c r="K13" s="103" t="str">
        <f>INDEX(tblBerekPlusOpm[],K$10,$A13+2)</f>
        <v>72,4 k</v>
      </c>
      <c r="L13" s="103"/>
      <c r="M13" s="104" t="str">
        <f>INDEX(tblBerekPlusOpm[],M$10,$A13+2)</f>
        <v>176,0%</v>
      </c>
      <c r="N13" s="103" t="str">
        <f ca="1">INDEX(tblBerekPlusOpm[],N$10,$A13+2)</f>
        <v>263,2 k</v>
      </c>
      <c r="O13" s="103" t="str">
        <f ca="1">INDEX(tblBerekPlusOpm[],O$10,$A13+2)</f>
        <v>257,5 k</v>
      </c>
      <c r="P13" s="103" t="str">
        <f ca="1">INDEX(tblBerekPlusOpm[],P$10,$A13+2)</f>
        <v>255,0 k</v>
      </c>
    </row>
    <row r="14" spans="1:16" x14ac:dyDescent="0.25">
      <c r="A14" s="107">
        <v>3</v>
      </c>
      <c r="B14" s="90" t="str">
        <f>Instel!D8</f>
        <v>Cashflow</v>
      </c>
      <c r="D14" s="103" t="str">
        <f>INDEX(tblBerekPlusOpm[],D$10,$A14+2)</f>
        <v>€ 163.579</v>
      </c>
      <c r="E14" s="103" t="str">
        <f>INDEX(tblBerekPlusOpm[],E$10,$A14+2)</f>
        <v>€ 159.289</v>
      </c>
      <c r="F14" s="104"/>
      <c r="G14" s="103" t="str">
        <f>INDEX(tblBerekPlusOpm[],G$10,$A14+2)</f>
        <v>€ 86.283</v>
      </c>
      <c r="H14" s="103" t="str">
        <f>INDEX(tblBerekPlusOpm[],H$10,$A14+2)</f>
        <v>€ 172.912</v>
      </c>
      <c r="I14" s="104"/>
      <c r="J14" s="103" t="str">
        <f>INDEX(tblBerekPlusOpm[],J$10,$A14+2)</f>
        <v>€ 4.290</v>
      </c>
      <c r="K14" s="103" t="str">
        <f>INDEX(tblBerekPlusOpm[],K$10,$A14+2)</f>
        <v>€ 77.296</v>
      </c>
      <c r="L14" s="103"/>
      <c r="M14" s="104" t="str">
        <f>INDEX(tblBerekPlusOpm[],M$10,$A14+2)</f>
        <v>94,6%</v>
      </c>
      <c r="N14" s="103" t="str">
        <f ca="1">INDEX(tblBerekPlusOpm[],N$10,$A14+2)</f>
        <v>€ 160.625</v>
      </c>
      <c r="O14" s="103" t="str">
        <f ca="1">INDEX(tblBerekPlusOpm[],O$10,$A14+2)</f>
        <v>€ 160.118</v>
      </c>
      <c r="P14" s="103" t="str">
        <f ca="1">INDEX(tblBerekPlusOpm[],P$10,$A14+2)</f>
        <v>€ 163.374</v>
      </c>
    </row>
    <row r="15" spans="1:16" x14ac:dyDescent="0.25">
      <c r="A15" s="107">
        <v>4</v>
      </c>
      <c r="B15" s="90" t="str">
        <f>Instel!D9</f>
        <v>Winst %</v>
      </c>
      <c r="D15" s="103" t="str">
        <f>INDEX(tblBerekPlusOpm[],D$10,$A15+2)</f>
        <v>14%</v>
      </c>
      <c r="E15" s="103" t="str">
        <f>INDEX(tblBerekPlusOpm[],E$10,$A15+2)</f>
        <v>15%</v>
      </c>
      <c r="F15" s="104"/>
      <c r="G15" s="103" t="str">
        <f>INDEX(tblBerekPlusOpm[],G$10,$A15+2)</f>
        <v>38%</v>
      </c>
      <c r="H15" s="103" t="str">
        <f>INDEX(tblBerekPlusOpm[],H$10,$A15+2)</f>
        <v>10%</v>
      </c>
      <c r="I15" s="104"/>
      <c r="J15" s="103" t="str">
        <f>INDEX(tblBerekPlusOpm[],J$10,$A15+2)</f>
        <v>-1%</v>
      </c>
      <c r="K15" s="103" t="str">
        <f>INDEX(tblBerekPlusOpm[],K$10,$A15+2)</f>
        <v>-24%</v>
      </c>
      <c r="L15" s="103"/>
      <c r="M15" s="104" t="str">
        <f>INDEX(tblBerekPlusOpm[],M$10,$A15+2)</f>
        <v>138,1%</v>
      </c>
      <c r="N15" s="103" t="str">
        <f ca="1">INDEX(tblBerekPlusOpm[],N$10,$A15+2)</f>
        <v>15%</v>
      </c>
      <c r="O15" s="103" t="str">
        <f ca="1">INDEX(tblBerekPlusOpm[],O$10,$A15+2)</f>
        <v>16%</v>
      </c>
      <c r="P15" s="103" t="str">
        <f ca="1">INDEX(tblBerekPlusOpm[],P$10,$A15+2)</f>
        <v>17%</v>
      </c>
    </row>
    <row r="16" spans="1:16" x14ac:dyDescent="0.25">
      <c r="A16" s="107">
        <v>5</v>
      </c>
      <c r="B16" s="90" t="str">
        <f>Instel!D10</f>
        <v>Klanten</v>
      </c>
      <c r="D16" s="103" t="str">
        <f>INDEX(tblBerekPlusOpm[],D$10,$A16+2)</f>
        <v>535</v>
      </c>
      <c r="E16" s="103" t="str">
        <f>INDEX(tblBerekPlusOpm[],E$10,$A16+2)</f>
        <v>536</v>
      </c>
      <c r="F16" s="104"/>
      <c r="G16" s="103" t="str">
        <f>INDEX(tblBerekPlusOpm[],G$10,$A16+2)</f>
        <v>406</v>
      </c>
      <c r="H16" s="103" t="str">
        <f>INDEX(tblBerekPlusOpm[],H$10,$A16+2)</f>
        <v>352</v>
      </c>
      <c r="I16" s="104"/>
      <c r="J16" s="103" t="str">
        <f>INDEX(tblBerekPlusOpm[],J$10,$A16+2)</f>
        <v>-1</v>
      </c>
      <c r="K16" s="103" t="str">
        <f>INDEX(tblBerekPlusOpm[],K$10,$A16+2)</f>
        <v>129</v>
      </c>
      <c r="L16" s="103"/>
      <c r="M16" s="104" t="str">
        <f>INDEX(tblBerekPlusOpm[],M$10,$A16+2)</f>
        <v>152,0%</v>
      </c>
      <c r="N16" s="103" t="str">
        <f ca="1">INDEX(tblBerekPlusOpm[],N$10,$A16+2)</f>
        <v>536</v>
      </c>
      <c r="O16" s="103" t="str">
        <f ca="1">INDEX(tblBerekPlusOpm[],O$10,$A16+2)</f>
        <v>538</v>
      </c>
      <c r="P16" s="103" t="str">
        <f ca="1">INDEX(tblBerekPlusOpm[],P$10,$A16+2)</f>
        <v>552</v>
      </c>
    </row>
    <row r="17" spans="1:16" x14ac:dyDescent="0.25">
      <c r="A17" s="107">
        <v>6</v>
      </c>
      <c r="B17" s="90" t="str">
        <f>Instel!D11</f>
        <v>% Nieuwe klanten</v>
      </c>
      <c r="D17" s="103" t="str">
        <f>INDEX(tblBerekPlusOpm[],D$10,$A17+2)</f>
        <v>67%</v>
      </c>
      <c r="E17" s="103" t="str">
        <f>INDEX(tblBerekPlusOpm[],E$10,$A17+2)</f>
        <v>67%</v>
      </c>
      <c r="F17" s="104"/>
      <c r="G17" s="103" t="str">
        <f>INDEX(tblBerekPlusOpm[],G$10,$A17+2)</f>
        <v>62%</v>
      </c>
      <c r="H17" s="103" t="str">
        <f>INDEX(tblBerekPlusOpm[],H$10,$A17+2)</f>
        <v>56%</v>
      </c>
      <c r="I17" s="104"/>
      <c r="J17" s="103" t="str">
        <f>INDEX(tblBerekPlusOpm[],J$10,$A17+2)</f>
        <v>0%</v>
      </c>
      <c r="K17" s="103" t="str">
        <f>INDEX(tblBerekPlusOpm[],K$10,$A17+2)</f>
        <v>5%</v>
      </c>
      <c r="L17" s="103"/>
      <c r="M17" s="104" t="str">
        <f>INDEX(tblBerekPlusOpm[],M$10,$A17+2)</f>
        <v>119,6%</v>
      </c>
      <c r="N17" s="103" t="str">
        <f ca="1">INDEX(tblBerekPlusOpm[],N$10,$A17+2)</f>
        <v>67%</v>
      </c>
      <c r="O17" s="103" t="str">
        <f ca="1">INDEX(tblBerekPlusOpm[],O$10,$A17+2)</f>
        <v>66%</v>
      </c>
      <c r="P17" s="103" t="str">
        <f ca="1">INDEX(tblBerekPlusOpm[],P$10,$A17+2)</f>
        <v>63%</v>
      </c>
    </row>
    <row r="18" spans="1:16" x14ac:dyDescent="0.25">
      <c r="A18" s="107">
        <v>7</v>
      </c>
      <c r="B18" s="90" t="str">
        <f>Instel!D12</f>
        <v>% Terugkerende klanten</v>
      </c>
      <c r="D18" s="103" t="str">
        <f>INDEX(tblBerekPlusOpm[],D$10,$A18+2)</f>
        <v>32%</v>
      </c>
      <c r="E18" s="103" t="str">
        <f>INDEX(tblBerekPlusOpm[],E$10,$A18+2)</f>
        <v>32%</v>
      </c>
      <c r="F18" s="104"/>
      <c r="G18" s="103" t="str">
        <f>INDEX(tblBerekPlusOpm[],G$10,$A18+2)</f>
        <v>38%</v>
      </c>
      <c r="H18" s="103" t="str">
        <f>INDEX(tblBerekPlusOpm[],H$10,$A18+2)</f>
        <v>20%</v>
      </c>
      <c r="I18" s="104"/>
      <c r="J18" s="103" t="str">
        <f>INDEX(tblBerekPlusOpm[],J$10,$A18+2)</f>
        <v>0%</v>
      </c>
      <c r="K18" s="103" t="str">
        <f>INDEX(tblBerekPlusOpm[],K$10,$A18+2)</f>
        <v>-6%</v>
      </c>
      <c r="L18" s="103"/>
      <c r="M18" s="104" t="str">
        <f>INDEX(tblBerekPlusOpm[],M$10,$A18+2)</f>
        <v>160,0%</v>
      </c>
      <c r="N18" s="103" t="str">
        <f ca="1">INDEX(tblBerekPlusOpm[],N$10,$A18+2)</f>
        <v>32%</v>
      </c>
      <c r="O18" s="103" t="str">
        <f ca="1">INDEX(tblBerekPlusOpm[],O$10,$A18+2)</f>
        <v>33%</v>
      </c>
      <c r="P18" s="103" t="str">
        <f ca="1">INDEX(tblBerekPlusOpm[],P$10,$A18+2)</f>
        <v>36%</v>
      </c>
    </row>
    <row r="19" spans="1:16" x14ac:dyDescent="0.25">
      <c r="A19" s="107">
        <v>8</v>
      </c>
      <c r="B19" s="90" t="str">
        <f>Instel!D13</f>
        <v>Gem verkoop per klant</v>
      </c>
      <c r="D19" s="103" t="str">
        <f>INDEX(tblBerekPlusOpm[],D$10,$A19+2)</f>
        <v>€ 561</v>
      </c>
      <c r="E19" s="103" t="str">
        <f>INDEX(tblBerekPlusOpm[],E$10,$A19+2)</f>
        <v>€ 569</v>
      </c>
      <c r="F19" s="104"/>
      <c r="G19" s="103" t="str">
        <f>INDEX(tblBerekPlusOpm[],G$10,$A19+2)</f>
        <v>€ 769</v>
      </c>
      <c r="H19" s="103" t="str">
        <f>INDEX(tblBerekPlusOpm[],H$10,$A19+2)</f>
        <v>€ 373</v>
      </c>
      <c r="I19" s="104"/>
      <c r="J19" s="103" t="str">
        <f>INDEX(tblBerekPlusOpm[],J$10,$A19+2)</f>
        <v>-€ 8</v>
      </c>
      <c r="K19" s="103" t="str">
        <f>INDEX(tblBerekPlusOpm[],K$10,$A19+2)</f>
        <v>-€ 209</v>
      </c>
      <c r="L19" s="103"/>
      <c r="M19" s="104" t="str">
        <f>INDEX(tblBerekPlusOpm[],M$10,$A19+2)</f>
        <v>150,4%</v>
      </c>
      <c r="N19" s="103" t="str">
        <f ca="1">INDEX(tblBerekPlusOpm[],N$10,$A19+2)</f>
        <v>€ 563</v>
      </c>
      <c r="O19" s="103" t="str">
        <f ca="1">INDEX(tblBerekPlusOpm[],O$10,$A19+2)</f>
        <v>€ 560</v>
      </c>
      <c r="P19" s="103" t="str">
        <f ca="1">INDEX(tblBerekPlusOpm[],P$10,$A19+2)</f>
        <v>€ 552</v>
      </c>
    </row>
    <row r="20" spans="1:16" x14ac:dyDescent="0.25">
      <c r="A20" s="107">
        <v>9</v>
      </c>
      <c r="B20" s="90" t="str">
        <f>Instel!D14</f>
        <v>Productiviteit %</v>
      </c>
      <c r="D20" s="103" t="str">
        <f>INDEX(tblBerekPlusOpm[],D$10,$A20+2)</f>
        <v>87%</v>
      </c>
      <c r="E20" s="103" t="str">
        <f>INDEX(tblBerekPlusOpm[],E$10,$A20+2)</f>
        <v>87%</v>
      </c>
      <c r="F20" s="104"/>
      <c r="G20" s="103" t="str">
        <f>INDEX(tblBerekPlusOpm[],G$10,$A20+2)</f>
        <v>76%</v>
      </c>
      <c r="H20" s="103" t="str">
        <f>INDEX(tblBerekPlusOpm[],H$10,$A20+2)</f>
        <v>160%</v>
      </c>
      <c r="I20" s="104"/>
      <c r="J20" s="103" t="str">
        <f>INDEX(tblBerekPlusOpm[],J$10,$A20+2)</f>
        <v>0%</v>
      </c>
      <c r="K20" s="103" t="str">
        <f>INDEX(tblBerekPlusOpm[],K$10,$A20+2)</f>
        <v>11%</v>
      </c>
      <c r="L20" s="103"/>
      <c r="M20" s="104" t="str">
        <f>INDEX(tblBerekPlusOpm[],M$10,$A20+2)</f>
        <v>54,1%</v>
      </c>
      <c r="N20" s="103" t="str">
        <f ca="1">INDEX(tblBerekPlusOpm[],N$10,$A20+2)</f>
        <v>87%</v>
      </c>
      <c r="O20" s="103" t="str">
        <f ca="1">INDEX(tblBerekPlusOpm[],O$10,$A20+2)</f>
        <v>87%</v>
      </c>
      <c r="P20" s="103" t="str">
        <f ca="1">INDEX(tblBerekPlusOpm[],P$10,$A20+2)</f>
        <v>87%</v>
      </c>
    </row>
    <row r="21" spans="1:16" x14ac:dyDescent="0.25">
      <c r="A21" s="107">
        <v>10</v>
      </c>
      <c r="B21" s="90" t="str">
        <f>Instel!D15</f>
        <v>Gem tijd per call</v>
      </c>
      <c r="D21" s="103" t="str">
        <f>INDEX(tblBerekPlusOpm[],D$10,$A21+2)</f>
        <v>01:37</v>
      </c>
      <c r="E21" s="103" t="str">
        <f>INDEX(tblBerekPlusOpm[],E$10,$A21+2)</f>
        <v>01:40</v>
      </c>
      <c r="F21" s="97"/>
      <c r="G21" s="103" t="str">
        <f>INDEX(tblBerekPlusOpm[],G$10,$A21+2)</f>
        <v>01:10</v>
      </c>
      <c r="H21" s="103" t="str">
        <f>INDEX(tblBerekPlusOpm[],H$10,$A21+2)</f>
        <v>01:40</v>
      </c>
      <c r="I21" s="97"/>
      <c r="J21" s="103">
        <f>INDEX(tblBerekPlusOpm[],J$10,$A21+2)</f>
        <v>0</v>
      </c>
      <c r="K21" s="103" t="str">
        <f>INDEX(tblBerekPlusOpm[],K$10,$A21+2)</f>
        <v>00:00</v>
      </c>
      <c r="L21" s="103"/>
      <c r="M21" s="104" t="str">
        <f>INDEX(tblBerekPlusOpm[],M$10,$A21+2)</f>
        <v>97,0%</v>
      </c>
      <c r="N21" s="103" t="str">
        <f ca="1">INDEX(tblBerekPlusOpm[],N$10,$A21+2)</f>
        <v>01:40</v>
      </c>
      <c r="O21" s="103" t="str">
        <f ca="1">INDEX(tblBerekPlusOpm[],O$10,$A21+2)</f>
        <v>01:45</v>
      </c>
      <c r="P21" s="103" t="str">
        <f ca="1">INDEX(tblBerekPlusOpm[],P$10,$A21+2)</f>
        <v>02:07</v>
      </c>
    </row>
    <row r="27" spans="1:16" x14ac:dyDescent="0.25">
      <c r="B27" s="90" t="str">
        <f>Berekeningen!F104</f>
        <v/>
      </c>
    </row>
    <row r="28" spans="1:16" ht="15.75" thickBot="1" x14ac:dyDescent="0.3"/>
    <row r="29" spans="1:16" s="27" customFormat="1" ht="50.25" customHeight="1" thickBot="1" x14ac:dyDescent="0.3">
      <c r="B29" s="145" t="str">
        <f ca="1">VoetRg</f>
        <v xml:space="preserve">Opgesteld door Gijs Verbruggen op 24-1-2023, gijs@ginfo.nl 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7"/>
    </row>
  </sheetData>
  <mergeCells count="11">
    <mergeCell ref="D8:E8"/>
    <mergeCell ref="G8:H8"/>
    <mergeCell ref="J8:K8"/>
    <mergeCell ref="B2:P2"/>
    <mergeCell ref="B29:P29"/>
    <mergeCell ref="D4:E4"/>
    <mergeCell ref="G4:H4"/>
    <mergeCell ref="J4:K4"/>
    <mergeCell ref="D5:E5"/>
    <mergeCell ref="G5:H5"/>
    <mergeCell ref="J5:K5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6477376C-F1FD-4406-AA11-7DFC7C7DD90E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Berekeningen!D85:D96</xm:f>
              <xm:sqref>D8</xm:sqref>
            </x14:sparkline>
          </x14:sparklines>
        </x14:sparklineGroup>
        <x14:sparklineGroup displayEmptyCellsAs="gap" high="1" low="1" xr2:uid="{99C48C88-3A63-449E-ACFE-AAF7BFD2B724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Berekeningen!F85:F96</xm:f>
              <xm:sqref>G8</xm:sqref>
            </x14:sparkline>
          </x14:sparklines>
        </x14:sparklineGroup>
        <x14:sparklineGroup displayEmptyCellsAs="gap" high="1" low="1" xr2:uid="{A4D175ED-AB8A-48B4-9134-3D1D12B1C962}">
          <x14:colorSeries rgb="FF5F5F5F"/>
          <x14:colorNegative rgb="FFFFB620"/>
          <x14:colorAxis rgb="FF000000"/>
          <x14:colorMarkers rgb="FFD70077"/>
          <x14:colorFirst rgb="FF5687C2"/>
          <x14:colorLast rgb="FF359CEB"/>
          <x14:colorHigh rgb="FF56BE79"/>
          <x14:colorLow rgb="FFFF5055"/>
          <x14:sparklines>
            <x14:sparkline>
              <xm:f>Berekeningen!H85:H96</xm:f>
              <xm:sqref>J8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19</vt:i4>
      </vt:variant>
    </vt:vector>
  </HeadingPairs>
  <TitlesOfParts>
    <vt:vector size="27" baseType="lpstr">
      <vt:lpstr>Voorblad</vt:lpstr>
      <vt:lpstr>Bedrijf</vt:lpstr>
      <vt:lpstr>Basis</vt:lpstr>
      <vt:lpstr>Instel</vt:lpstr>
      <vt:lpstr>Data</vt:lpstr>
      <vt:lpstr>Berekeningen</vt:lpstr>
      <vt:lpstr>Ovz1</vt:lpstr>
      <vt:lpstr>Ovz2</vt:lpstr>
      <vt:lpstr>BedrEmail</vt:lpstr>
      <vt:lpstr>BedrNaam</vt:lpstr>
      <vt:lpstr>BedrOpsteller</vt:lpstr>
      <vt:lpstr>BedrWeb</vt:lpstr>
      <vt:lpstr>Blokken</vt:lpstr>
      <vt:lpstr>DataKol</vt:lpstr>
      <vt:lpstr>Dtm</vt:lpstr>
      <vt:lpstr>DtmRef</vt:lpstr>
      <vt:lpstr>KopRg</vt:lpstr>
      <vt:lpstr>Mnden</vt:lpstr>
      <vt:lpstr>OpmDtm</vt:lpstr>
      <vt:lpstr>OpmNmn</vt:lpstr>
      <vt:lpstr>OvzBlokInd</vt:lpstr>
      <vt:lpstr>SrtOvz</vt:lpstr>
      <vt:lpstr>TkstOnderdelen</vt:lpstr>
      <vt:lpstr>VanHrNaarDg</vt:lpstr>
      <vt:lpstr>VanMinNaarDg</vt:lpstr>
      <vt:lpstr>VanSecNaarDg</vt:lpstr>
      <vt:lpstr>VoetRg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2023-01-12T12:56:08Z</dcterms:created>
  <dcterms:modified xsi:type="dcterms:W3CDTF">2023-01-24T19:48:32Z</dcterms:modified>
</cp:coreProperties>
</file>